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activeTab="2"/>
  </bookViews>
  <sheets>
    <sheet name="负责人薪酬情况表" sheetId="1" r:id="rId1"/>
    <sheet name="负责人2023年度薪酬分配备案表" sheetId="2" r:id="rId2"/>
    <sheet name="负责人薪酬披露表"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<sst xmlns="http://schemas.openxmlformats.org/spreadsheetml/2006/main" count="318" uniqueCount="208">
  <si>
    <t>附件2：</t>
  </si>
  <si>
    <t>吴忠市属国有企业负责人2023年度薪酬分配情况表</t>
  </si>
  <si>
    <t>填报单位名称:（盖章）</t>
  </si>
  <si>
    <t>填报日期：</t>
  </si>
  <si>
    <t xml:space="preserve">单位：人，万元  </t>
  </si>
  <si>
    <t>序号</t>
  </si>
  <si>
    <t>企业      名称</t>
  </si>
  <si>
    <t>所属行业</t>
  </si>
  <si>
    <t>企业负责人总人数</t>
  </si>
  <si>
    <t>2022年度应发平均年薪</t>
  </si>
  <si>
    <t>2022年基本年薪计算基数</t>
  </si>
  <si>
    <t>2023年度薪酬分配情况</t>
  </si>
  <si>
    <t>2023年福利性待遇情况</t>
  </si>
  <si>
    <t>2023年企业效益情况</t>
  </si>
  <si>
    <t>2023年企业在岗职工工资水平</t>
  </si>
  <si>
    <t>2023年度薪酬信息公开情况</t>
  </si>
  <si>
    <t>备注</t>
  </si>
  <si>
    <t>负责人应发平均薪酬</t>
  </si>
  <si>
    <t>增减幅度%</t>
  </si>
  <si>
    <t>主要负责人年度薪酬</t>
  </si>
  <si>
    <t>平均福利性待遇合计</t>
  </si>
  <si>
    <t>指标  名称</t>
  </si>
  <si>
    <t>完成    情况</t>
  </si>
  <si>
    <t>在岗职工年均人数</t>
  </si>
  <si>
    <t>在岗职工年平均工资</t>
  </si>
  <si>
    <t>公开时间</t>
  </si>
  <si>
    <t>公开渠道</t>
  </si>
  <si>
    <r>
      <rPr>
        <sz val="9"/>
        <rFont val="宋体"/>
        <charset val="134"/>
      </rPr>
      <t>其中：</t>
    </r>
    <r>
      <rPr>
        <sz val="10"/>
        <rFont val="宋体"/>
        <charset val="134"/>
      </rPr>
      <t xml:space="preserve">  其他收入</t>
    </r>
  </si>
  <si>
    <t>基本养老保险</t>
  </si>
  <si>
    <t>基本医疗保险</t>
  </si>
  <si>
    <t>企业年金</t>
  </si>
  <si>
    <t>补充医疗保险</t>
  </si>
  <si>
    <t>住房公积金</t>
  </si>
  <si>
    <t>其他项目</t>
  </si>
  <si>
    <t>栏次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</si>
  <si>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</si>
  <si>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</si>
  <si>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</si>
  <si>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</si>
  <si>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</si>
  <si>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</si>
  <si>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</si>
  <si>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</si>
  <si>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</si>
  <si>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</si>
  <si>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</si>
  <si>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</si>
  <si>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</si>
  <si>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</si>
  <si>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</si>
  <si>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</si>
  <si>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</si>
  <si>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</si>
  <si>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</si>
  <si>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</si>
  <si>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</si>
  <si>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</si>
  <si>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</si>
  <si>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</si>
  <si>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</si>
  <si>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</si>
  <si>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宁夏盐池滩羊产业发展集团有限公司</t>
  </si>
  <si>
    <t>投资与资产管理</t>
  </si>
  <si>
    <t>31.83</t>
  </si>
  <si>
    <t>净利润</t>
  </si>
  <si>
    <t>-989.98</t>
  </si>
  <si>
    <t>57</t>
  </si>
  <si>
    <t>2024.7.26</t>
  </si>
  <si>
    <t>盐池县政府门户网站</t>
  </si>
  <si>
    <t>营业收入</t>
  </si>
  <si>
    <t>15985.23</t>
  </si>
  <si>
    <t>宁夏丰牧饲料科技服务有限公司</t>
  </si>
  <si>
    <t>农林牧渔</t>
  </si>
  <si>
    <t>440.33</t>
  </si>
  <si>
    <t>3052.12</t>
  </si>
  <si>
    <t>盐池县瑞牧农产品有限责任公司</t>
  </si>
  <si>
    <t>农畜产品加工销售</t>
  </si>
  <si>
    <t>盐池县粮油储备营销有限公司</t>
  </si>
  <si>
    <t>仓储</t>
  </si>
  <si>
    <t>宁夏朔牧盐池滩羊繁育有限公司</t>
  </si>
  <si>
    <t>羊的饲养</t>
  </si>
  <si>
    <t>盐池县融盐农产品开发有限公司</t>
  </si>
  <si>
    <t>农副产品销售及加工</t>
  </si>
  <si>
    <t>3</t>
  </si>
  <si>
    <t>20.32</t>
  </si>
  <si>
    <t>64.1</t>
  </si>
  <si>
    <t>1785.92</t>
  </si>
  <si>
    <t>备注:1.(4)2021年度应发薪酬不包括以往年度延至当年应发放的金额，不含福利性待遇；</t>
  </si>
  <si>
    <t xml:space="preserve">     2.(5)2022年基本年薪计算基数按各企业实际使用的基本年薪计算基数填写；</t>
  </si>
  <si>
    <t xml:space="preserve">     3.(6)应发薪酬=所有负责人（基本年薪+绩效年薪+其他收入）的平均薪酬，不含以往年度递延至本年度发放的金额；</t>
  </si>
  <si>
    <t xml:space="preserve">     4.(7)其他收入、（18）其他项目填写总额，并加栏逐项分别注明具体项目名称和金额；</t>
  </si>
  <si>
    <t xml:space="preserve">     5.(12)-(16)基本养老金、基本医疗保险、企业年金、补充医疗保险、住房公积金填写企业缴纳（存）部分；</t>
  </si>
  <si>
    <t xml:space="preserve">     6.(18)-(20)效益指标填写企业考核指标，多指标的加栏分别列示；</t>
  </si>
  <si>
    <t xml:space="preserve">     7.(24)公开时间具体到月日，（25）公开渠道需注明具体公布媒体或网站，在网站公布的应附网站链接。</t>
  </si>
  <si>
    <t>负责人：</t>
  </si>
  <si>
    <t>填表人：</t>
  </si>
  <si>
    <t>联系方式：</t>
  </si>
  <si>
    <t>附件3：</t>
  </si>
  <si>
    <t>吴忠市属国有企业负责人2023年度薪酬分配备案表</t>
  </si>
  <si>
    <t>单位：人，万元</t>
  </si>
  <si>
    <t>企业   名称</t>
  </si>
  <si>
    <t>姓名</t>
  </si>
  <si>
    <t>职务</t>
  </si>
  <si>
    <t>任职起止时间</t>
  </si>
  <si>
    <t>2022年度薪酬分配情况</t>
  </si>
  <si>
    <t>2023年度考核及薪酬核定及分配情况</t>
  </si>
  <si>
    <t>2023年度福利性待遇情况</t>
  </si>
  <si>
    <t>2023年主要考核指标完成情况</t>
  </si>
  <si>
    <t>应发薪酬合计</t>
  </si>
  <si>
    <t>应发年薪合计</t>
  </si>
  <si>
    <t>考核评价系数</t>
  </si>
  <si>
    <t>福利性待遇合计</t>
  </si>
  <si>
    <t>考核指标一</t>
  </si>
  <si>
    <t>考核指标二</t>
  </si>
  <si>
    <t>对应发薪月数</t>
  </si>
  <si>
    <t>基本年薪</t>
  </si>
  <si>
    <t>绩效年薪</t>
  </si>
  <si>
    <t>薪酬调节系数</t>
  </si>
  <si>
    <t>其他收入</t>
  </si>
  <si>
    <t>任期激励模拟</t>
  </si>
  <si>
    <t>综合考评结果</t>
  </si>
  <si>
    <t>经营业绩考核结果</t>
  </si>
  <si>
    <t>利润总额</t>
  </si>
  <si>
    <t>资产总额</t>
  </si>
  <si>
    <t>（27）</t>
  </si>
  <si>
    <t>（28）</t>
  </si>
  <si>
    <t>（29）</t>
  </si>
  <si>
    <t>（30）</t>
  </si>
  <si>
    <t>金建仁</t>
  </si>
  <si>
    <t>党支部书记、董事长、总经理</t>
  </si>
  <si>
    <t>2019年7月</t>
  </si>
  <si>
    <t>D级</t>
  </si>
  <si>
    <t>88分</t>
  </si>
  <si>
    <t>李焱龙</t>
  </si>
  <si>
    <t>副总经理</t>
  </si>
  <si>
    <t>88.69分</t>
  </si>
  <si>
    <t>赵志鹏</t>
  </si>
  <si>
    <t>89分</t>
  </si>
  <si>
    <t>李波</t>
  </si>
  <si>
    <t>党支部副书记、副总经理</t>
  </si>
  <si>
    <t>2020年12月</t>
  </si>
  <si>
    <t>84.46分</t>
  </si>
  <si>
    <t>吴庚鸿</t>
  </si>
  <si>
    <t>营销总监</t>
  </si>
  <si>
    <t>87分</t>
  </si>
  <si>
    <t>李强</t>
  </si>
  <si>
    <t>经理</t>
  </si>
  <si>
    <t>B级</t>
  </si>
  <si>
    <t>王琴</t>
  </si>
  <si>
    <t>副经理</t>
  </si>
  <si>
    <t>黄明宏</t>
  </si>
  <si>
    <t>牛瑞祥</t>
  </si>
  <si>
    <t>年学军</t>
  </si>
  <si>
    <t>张连全</t>
  </si>
  <si>
    <t>81.095分</t>
  </si>
  <si>
    <t>王妍莉</t>
  </si>
  <si>
    <t>武新</t>
  </si>
  <si>
    <t>100.76分</t>
  </si>
  <si>
    <t>彭小军</t>
  </si>
  <si>
    <t>2019年9月</t>
  </si>
  <si>
    <t>马江峰</t>
  </si>
  <si>
    <t>注：1. 企业负责人逐人备案，应发薪酬按实际发放月数、对应的岗位年薪标准和模拟任期激励换算为全年薪酬模拟水平数额填写；</t>
  </si>
  <si>
    <t xml:space="preserve">    2.（11）任期激励模拟，指当年度基本确认发放任期激励的可按考核等次并不超过基本年薪与绩效年薪的30%以内比例框算。</t>
  </si>
  <si>
    <t xml:space="preserve">    3.（13）其他收入、（23）其他项目填写总额，并加栏逐项分别注明具体名称和金额；</t>
  </si>
  <si>
    <t xml:space="preserve">    4.（18）-（23）基本养老金、基本医疗保险、企业年金、补充医疗保险、住房公积金填写企业缴纳（存）部分；</t>
  </si>
  <si>
    <t xml:space="preserve">    5.（28）考核指标为定义性指标的，填写上年度完成情况。考核指标多余3项的，加栏分别列示；</t>
  </si>
  <si>
    <t xml:space="preserve">    6.表内关系：（6）=（7）+（13）（7）=（9）+（10）+(12）,(17)=(18)+(19)+(20)+(21)+(22)+(23)</t>
  </si>
  <si>
    <t>附件：</t>
  </si>
  <si>
    <t>宁夏盐池滩羊产业发展集团有限公司主要负责人2023年度薪酬情况</t>
  </si>
  <si>
    <r>
      <rPr>
        <sz val="12"/>
        <rFont val="仿宋_GB2312"/>
        <charset val="134"/>
      </rPr>
      <t>单位：人民币，万元</t>
    </r>
  </si>
  <si>
    <r>
      <rPr>
        <sz val="12"/>
        <rFont val="仿宋_GB2312"/>
        <charset val="134"/>
      </rPr>
      <t>序号</t>
    </r>
  </si>
  <si>
    <r>
      <rPr>
        <sz val="12"/>
        <rFont val="仿宋_GB2312"/>
        <charset val="134"/>
      </rPr>
      <t>姓名</t>
    </r>
  </si>
  <si>
    <r>
      <rPr>
        <sz val="12"/>
        <rFont val="仿宋_GB2312"/>
        <charset val="134"/>
      </rPr>
      <t>任现职时间</t>
    </r>
  </si>
  <si>
    <r>
      <rPr>
        <sz val="12"/>
        <rFont val="仿宋_GB2312"/>
        <charset val="134"/>
      </rPr>
      <t>本年度</t>
    </r>
  </si>
  <si>
    <r>
      <rPr>
        <sz val="12"/>
        <rFont val="仿宋_GB2312"/>
        <charset val="134"/>
      </rPr>
      <t>应付平均年薪</t>
    </r>
  </si>
  <si>
    <r>
      <rPr>
        <sz val="12"/>
        <rFont val="仿宋_GB2312"/>
        <charset val="134"/>
      </rPr>
      <t>平均基本年薪</t>
    </r>
  </si>
  <si>
    <r>
      <rPr>
        <sz val="12"/>
        <rFont val="仿宋_GB2312"/>
        <charset val="134"/>
      </rPr>
      <t>平均绩效年薪</t>
    </r>
  </si>
  <si>
    <r>
      <rPr>
        <sz val="12"/>
        <rFont val="仿宋_GB2312"/>
        <charset val="134"/>
      </rPr>
      <t>社保、企业年金及住房公积金部分</t>
    </r>
  </si>
  <si>
    <r>
      <rPr>
        <sz val="12"/>
        <rFont val="仿宋_GB2312"/>
        <charset val="134"/>
      </rPr>
      <t>其他货币性收入</t>
    </r>
  </si>
  <si>
    <r>
      <t>2020</t>
    </r>
    <r>
      <rPr>
        <sz val="10"/>
        <rFont val="仿宋_GB2312"/>
        <charset val="134"/>
      </rPr>
      <t>年</t>
    </r>
    <r>
      <rPr>
        <sz val="10"/>
        <rFont val="Times New Roman"/>
        <charset val="134"/>
      </rPr>
      <t>-2022</t>
    </r>
    <r>
      <rPr>
        <sz val="10"/>
        <rFont val="仿宋_GB2312"/>
        <charset val="134"/>
      </rPr>
      <t>年任期激励收入</t>
    </r>
  </si>
  <si>
    <r>
      <rPr>
        <sz val="10"/>
        <rFont val="仿宋_GB2312"/>
        <charset val="134"/>
      </rPr>
      <t>是否在股东单位或其他关联方领取薪酬</t>
    </r>
  </si>
  <si>
    <r>
      <rPr>
        <sz val="10"/>
        <rFont val="仿宋_GB2312"/>
        <charset val="134"/>
      </rPr>
      <t>在关联方领取的税前薪酬总额</t>
    </r>
  </si>
  <si>
    <r>
      <rPr>
        <sz val="12"/>
        <rFont val="仿宋_GB2312"/>
        <charset val="134"/>
      </rPr>
      <t>备注</t>
    </r>
  </si>
  <si>
    <r>
      <rPr>
        <sz val="12"/>
        <rFont val="仿宋_GB2312"/>
        <charset val="134"/>
      </rPr>
      <t>模拟年度任期激励水平</t>
    </r>
  </si>
  <si>
    <r>
      <rPr>
        <sz val="12"/>
        <rFont val="仿宋_GB2312"/>
        <charset val="134"/>
      </rPr>
      <t>起薪月份</t>
    </r>
  </si>
  <si>
    <r>
      <rPr>
        <sz val="12"/>
        <rFont val="仿宋_GB2312"/>
        <charset val="134"/>
      </rPr>
      <t>止薪月份</t>
    </r>
  </si>
  <si>
    <r>
      <rPr>
        <sz val="10"/>
        <rFont val="仿宋_GB2312"/>
        <charset val="134"/>
      </rPr>
      <t>金建仁</t>
    </r>
  </si>
  <si>
    <r>
      <rPr>
        <sz val="10"/>
        <rFont val="仿宋_GB2312"/>
        <charset val="134"/>
      </rPr>
      <t>否</t>
    </r>
  </si>
  <si>
    <r>
      <rPr>
        <sz val="10"/>
        <rFont val="仿宋_GB2312"/>
        <charset val="134"/>
      </rPr>
      <t>李焱龙</t>
    </r>
  </si>
  <si>
    <r>
      <rPr>
        <sz val="10"/>
        <rFont val="仿宋_GB2312"/>
        <charset val="134"/>
      </rPr>
      <t>赵志鹏</t>
    </r>
  </si>
  <si>
    <r>
      <rPr>
        <sz val="10"/>
        <rFont val="仿宋_GB2312"/>
        <charset val="134"/>
      </rPr>
      <t>李</t>
    </r>
    <r>
      <rPr>
        <sz val="10"/>
        <rFont val="Times New Roman"/>
        <charset val="134"/>
      </rPr>
      <t xml:space="preserve">  </t>
    </r>
    <r>
      <rPr>
        <sz val="10"/>
        <rFont val="仿宋_GB2312"/>
        <charset val="134"/>
      </rPr>
      <t>波</t>
    </r>
  </si>
  <si>
    <r>
      <rPr>
        <sz val="10"/>
        <rFont val="仿宋_GB2312"/>
        <charset val="134"/>
      </rPr>
      <t>吴庚鸿</t>
    </r>
  </si>
  <si>
    <r>
      <rPr>
        <sz val="10"/>
        <rFont val="仿宋_GB2312"/>
        <charset val="134"/>
      </rPr>
      <t>李强</t>
    </r>
  </si>
  <si>
    <r>
      <rPr>
        <sz val="10"/>
        <rFont val="仿宋_GB2312"/>
        <charset val="134"/>
      </rPr>
      <t>王琴</t>
    </r>
  </si>
  <si>
    <r>
      <rPr>
        <sz val="9"/>
        <rFont val="仿宋_GB2312"/>
        <charset val="134"/>
      </rPr>
      <t>黄明宏</t>
    </r>
  </si>
  <si>
    <r>
      <rPr>
        <sz val="9"/>
        <rFont val="仿宋_GB2312"/>
        <charset val="134"/>
      </rPr>
      <t>牛瑞祥</t>
    </r>
  </si>
  <si>
    <r>
      <rPr>
        <sz val="9"/>
        <rFont val="仿宋_GB2312"/>
        <charset val="134"/>
      </rPr>
      <t>年学军</t>
    </r>
  </si>
  <si>
    <r>
      <rPr>
        <sz val="9"/>
        <rFont val="仿宋_GB2312"/>
        <charset val="134"/>
      </rPr>
      <t>张连全</t>
    </r>
  </si>
  <si>
    <r>
      <rPr>
        <sz val="9"/>
        <rFont val="仿宋_GB2312"/>
        <charset val="134"/>
      </rPr>
      <t>王妍莉</t>
    </r>
  </si>
  <si>
    <r>
      <rPr>
        <sz val="10"/>
        <rFont val="仿宋_GB2312"/>
        <charset val="134"/>
      </rPr>
      <t>武新</t>
    </r>
  </si>
  <si>
    <r>
      <rPr>
        <sz val="10"/>
        <rFont val="仿宋_GB2312"/>
        <charset val="134"/>
      </rPr>
      <t>彭小军</t>
    </r>
  </si>
  <si>
    <r>
      <rPr>
        <sz val="10"/>
        <rFont val="仿宋_GB2312"/>
        <charset val="134"/>
      </rPr>
      <t>马江峰</t>
    </r>
  </si>
  <si>
    <r>
      <rPr>
        <sz val="12"/>
        <rFont val="仿宋_GB2312"/>
        <charset val="134"/>
      </rPr>
      <t>注：</t>
    </r>
  </si>
  <si>
    <r>
      <t xml:space="preserve">    1.</t>
    </r>
    <r>
      <rPr>
        <sz val="12"/>
        <rFont val="仿宋_GB2312"/>
        <charset val="134"/>
      </rPr>
      <t>上表披露薪酬为我公司董事、监事、高级管理人员报告期内全部应发税前薪酬（不含发放的以往年度绩效年薪）。</t>
    </r>
  </si>
  <si>
    <r>
      <t xml:space="preserve">    2.</t>
    </r>
    <r>
      <rPr>
        <sz val="12"/>
        <rFont val="仿宋_GB2312"/>
        <charset val="134"/>
      </rPr>
      <t>应付年薪和任期激励由</t>
    </r>
    <r>
      <rPr>
        <sz val="12"/>
        <rFont val="Times New Roman"/>
        <charset val="134"/>
      </rPr>
      <t xml:space="preserve"> </t>
    </r>
    <r>
      <rPr>
        <sz val="12"/>
        <rFont val="仿宋_GB2312"/>
        <charset val="134"/>
      </rPr>
      <t>薪酬审核部门）核定。</t>
    </r>
  </si>
  <si>
    <r>
      <t xml:space="preserve">    3.</t>
    </r>
    <r>
      <rPr>
        <sz val="12"/>
        <rFont val="仿宋_GB2312"/>
        <charset val="134"/>
      </rPr>
      <t>任期考核未满的或未实行任期激励的不用填写</t>
    </r>
    <r>
      <rPr>
        <sz val="12"/>
        <rFont val="Times New Roman"/>
        <charset val="134"/>
      </rPr>
      <t>201X-2023</t>
    </r>
    <r>
      <rPr>
        <sz val="12"/>
        <rFont val="仿宋_GB2312"/>
        <charset val="134"/>
      </rPr>
      <t>年任期激励收入。</t>
    </r>
  </si>
  <si>
    <r>
      <t xml:space="preserve">    4.</t>
    </r>
    <r>
      <rPr>
        <sz val="12"/>
        <rFont val="仿宋_GB2312"/>
        <charset val="134"/>
      </rPr>
      <t>应付年薪酬不包含任期激励或模拟的年度任其激励。</t>
    </r>
  </si>
  <si>
    <r>
      <t xml:space="preserve">    5.</t>
    </r>
    <r>
      <rPr>
        <sz val="12"/>
        <rFont val="仿宋_GB2312"/>
        <charset val="134"/>
      </rPr>
      <t>任职未满</t>
    </r>
    <r>
      <rPr>
        <sz val="12"/>
        <rFont val="Times New Roman"/>
        <charset val="134"/>
      </rPr>
      <t>1</t>
    </r>
    <r>
      <rPr>
        <sz val="12"/>
        <rFont val="仿宋_GB2312"/>
        <charset val="134"/>
      </rPr>
      <t>年按现职薪酬标准换算为年标准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</si>
</sst>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6">
    <font>
      <sz val="11"/>
      <color theme="1"/>
      <name val="宋体"/>
      <charset val="134"/>
      <scheme val="minor"/>
    </font>
    <font>
      <sz val="12"/>
      <name val="宋体"/>
      <charset val="134"/>
    </font>
    <font>
      <sz val="10"/>
      <name val="宋体"/>
      <charset val="134"/>
    </font>
    <font>
      <sz val="22"/>
      <name val="方正小标宋简体"/>
      <charset val="134"/>
    </font>
    <font>
      <sz val="12"/>
      <name val="Times New Roman"/>
      <charset val="134"/>
    </font>
    <font>
      <sz val="10"/>
      <name val="Times New Roman"/>
      <charset val="134"/>
    </font>
    <font>
      <sz val="9"/>
      <name val="Times New Roman"/>
      <charset val="134"/>
    </font>
    <font>
      <sz val="9"/>
      <name val="宋体"/>
      <charset val="134"/>
    </font>
    <font>
      <sz val="20"/>
      <name val="黑体"/>
      <charset val="134"/>
    </font>
    <font>
      <sz val="8"/>
      <name val="宋体"/>
      <charset val="134"/>
    </font>
    <font>
      <sz val="6"/>
      <name val="宋体"/>
      <charset val="134"/>
    </font>
    <font>
      <sz val="9"/>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name val="仿宋_GB2312"/>
      <charset val="134"/>
    </font>
    <font>
      <sz val="12"/>
      <name val="仿宋_GB2312"/>
      <charset val="134"/>
    </font>
    <font>
      <sz val="9"/>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1" applyNumberFormat="0" applyFill="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0" fillId="0" borderId="0" applyNumberFormat="0" applyFill="0" applyBorder="0" applyAlignment="0" applyProtection="0">
      <alignment vertical="center"/>
    </xf>
    <xf numFmtId="0" fontId="21" fillId="3" borderId="23" applyNumberFormat="0" applyAlignment="0" applyProtection="0">
      <alignment vertical="center"/>
    </xf>
    <xf numFmtId="0" fontId="22" fillId="4" borderId="24" applyNumberFormat="0" applyAlignment="0" applyProtection="0">
      <alignment vertical="center"/>
    </xf>
    <xf numFmtId="0" fontId="23" fillId="4" borderId="23" applyNumberFormat="0" applyAlignment="0" applyProtection="0">
      <alignment vertical="center"/>
    </xf>
    <xf numFmtId="0" fontId="24" fillId="5" borderId="25" applyNumberFormat="0" applyAlignment="0" applyProtection="0">
      <alignment vertical="center"/>
    </xf>
    <xf numFmtId="0" fontId="25" fillId="0" borderId="26" applyNumberFormat="0" applyFill="0" applyAlignment="0" applyProtection="0">
      <alignment vertical="center"/>
    </xf>
    <xf numFmtId="0" fontId="26" fillId="0" borderId="2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2" fillId="0" borderId="0">
      <alignment vertical="center"/>
    </xf>
  </cellStyleXfs>
  <cellXfs count="14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xf>
    <xf numFmtId="57"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4" fillId="0" borderId="4" xfId="0" applyFont="1" applyFill="1" applyBorder="1" applyAlignment="1">
      <alignment horizontal="center" vertical="center"/>
    </xf>
    <xf numFmtId="57"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57" fontId="5" fillId="0" borderId="5"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1" xfId="0" applyFont="1" applyFill="1" applyBorder="1" applyAlignment="1">
      <alignment vertical="center"/>
    </xf>
    <xf numFmtId="0" fontId="5"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1" xfId="0" applyFont="1" applyFill="1" applyBorder="1" applyAlignment="1">
      <alignment vertical="center"/>
    </xf>
    <xf numFmtId="0" fontId="5" fillId="0" borderId="7" xfId="0" applyFont="1" applyFill="1" applyBorder="1" applyAlignment="1">
      <alignment vertical="center"/>
    </xf>
    <xf numFmtId="0" fontId="5" fillId="0" borderId="5" xfId="0" applyFont="1" applyFill="1" applyBorder="1" applyAlignment="1">
      <alignment vertical="center"/>
    </xf>
    <xf numFmtId="0" fontId="5" fillId="0" borderId="9"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2" fillId="0" borderId="16" xfId="0" applyFont="1" applyFill="1" applyBorder="1" applyAlignment="1">
      <alignment horizontal="center" vertical="center"/>
    </xf>
    <xf numFmtId="49" fontId="9" fillId="0" borderId="13" xfId="0" applyNumberFormat="1" applyFont="1" applyFill="1" applyBorder="1" applyAlignment="1">
      <alignment horizontal="center" vertical="center"/>
    </xf>
    <xf numFmtId="49" fontId="10" fillId="0" borderId="13"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11" fillId="0" borderId="1" xfId="49"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9" fillId="0" borderId="13" xfId="0" applyFont="1" applyFill="1" applyBorder="1" applyAlignment="1">
      <alignment horizontal="center" vertical="center" wrapText="1"/>
    </xf>
    <xf numFmtId="0" fontId="7" fillId="0" borderId="1" xfId="5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11" fillId="0" borderId="4" xfId="49" applyFont="1" applyFill="1" applyBorder="1" applyAlignment="1">
      <alignment horizontal="center" vertical="center"/>
    </xf>
    <xf numFmtId="0" fontId="7" fillId="0" borderId="4" xfId="5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7" fillId="0" borderId="4" xfId="0" applyFont="1" applyFill="1" applyBorder="1" applyAlignment="1">
      <alignment horizontal="center" vertical="center"/>
    </xf>
    <xf numFmtId="57" fontId="7" fillId="0" borderId="4"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57"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12" fillId="0" borderId="2"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16"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5" xfId="0" applyFont="1" applyFill="1" applyBorder="1" applyAlignment="1">
      <alignment horizontal="left" vertical="center"/>
    </xf>
    <xf numFmtId="0" fontId="1" fillId="0" borderId="14"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4" xfId="0" applyFont="1" applyFill="1" applyBorder="1" applyAlignment="1">
      <alignment vertical="center"/>
    </xf>
    <xf numFmtId="0" fontId="7" fillId="0" borderId="17" xfId="0" applyFont="1" applyFill="1" applyBorder="1" applyAlignment="1">
      <alignment vertical="center"/>
    </xf>
    <xf numFmtId="0" fontId="7" fillId="0" borderId="2" xfId="0" applyFont="1" applyFill="1" applyBorder="1" applyAlignment="1">
      <alignment horizontal="center" vertical="center" wrapText="1"/>
    </xf>
    <xf numFmtId="0" fontId="2" fillId="0" borderId="11" xfId="0" applyFont="1" applyFill="1" applyBorder="1" applyAlignment="1">
      <alignment horizontal="center" vertical="center"/>
    </xf>
    <xf numFmtId="0" fontId="7" fillId="0" borderId="17" xfId="0" applyFont="1" applyFill="1" applyBorder="1" applyAlignment="1">
      <alignment horizontal="center" vertical="center"/>
    </xf>
    <xf numFmtId="0" fontId="9" fillId="0" borderId="1" xfId="0" applyFont="1" applyFill="1" applyBorder="1" applyAlignment="1">
      <alignment horizontal="center" vertical="center"/>
    </xf>
    <xf numFmtId="0" fontId="12" fillId="0" borderId="15" xfId="0" applyFont="1" applyFill="1" applyBorder="1" applyAlignment="1">
      <alignment horizontal="right" vertical="center"/>
    </xf>
    <xf numFmtId="0" fontId="2" fillId="0" borderId="17"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2" fillId="0" borderId="18" xfId="0" applyFont="1" applyFill="1" applyBorder="1" applyAlignment="1">
      <alignment horizontal="center" vertical="center"/>
    </xf>
    <xf numFmtId="0" fontId="7" fillId="0" borderId="11" xfId="0" applyFont="1" applyFill="1" applyBorder="1" applyAlignment="1">
      <alignment vertical="center" wrapText="1"/>
    </xf>
    <xf numFmtId="0" fontId="7" fillId="0" borderId="1" xfId="0" applyFont="1" applyFill="1" applyBorder="1" applyAlignment="1">
      <alignment vertical="center" wrapText="1"/>
    </xf>
    <xf numFmtId="0" fontId="2" fillId="0" borderId="19" xfId="0" applyFont="1" applyFill="1" applyBorder="1" applyAlignment="1">
      <alignment horizontal="center" vertical="center"/>
    </xf>
    <xf numFmtId="49" fontId="10" fillId="0" borderId="4"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0" fontId="7"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10" fontId="7" fillId="0" borderId="1" xfId="3" applyNumberFormat="1" applyFont="1" applyBorder="1" applyAlignment="1">
      <alignment horizontal="center" vertical="center"/>
    </xf>
    <xf numFmtId="0" fontId="7" fillId="0" borderId="1" xfId="0" applyNumberFormat="1" applyFont="1" applyFill="1" applyBorder="1" applyAlignment="1" applyProtection="1">
      <alignment horizontal="center" vertical="center"/>
    </xf>
    <xf numFmtId="0" fontId="7" fillId="0" borderId="7" xfId="0" applyFont="1" applyFill="1" applyBorder="1" applyAlignment="1">
      <alignment horizontal="left" vertical="center"/>
    </xf>
    <xf numFmtId="10" fontId="2" fillId="0" borderId="1"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12" fillId="0" borderId="17" xfId="0" applyFont="1" applyFill="1" applyBorder="1" applyAlignment="1">
      <alignment horizontal="left" vertical="center"/>
    </xf>
    <xf numFmtId="0" fontId="12" fillId="0" borderId="18" xfId="0" applyFont="1" applyFill="1" applyBorder="1" applyAlignment="1">
      <alignment horizontal="left" vertical="center"/>
    </xf>
    <xf numFmtId="0" fontId="12" fillId="0" borderId="19" xfId="0" applyFont="1" applyFill="1" applyBorder="1" applyAlignment="1">
      <alignment horizontal="left" vertical="center"/>
    </xf>
    <xf numFmtId="0" fontId="1" fillId="0" borderId="14" xfId="0" applyFont="1" applyFill="1" applyBorder="1" applyAlignment="1">
      <alignment vertical="center"/>
    </xf>
    <xf numFmtId="0" fontId="2" fillId="0" borderId="16"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0" fontId="1" fillId="0" borderId="6" xfId="0" applyFont="1" applyFill="1" applyBorder="1" applyAlignment="1">
      <alignment horizontal="center" vertical="center"/>
    </xf>
    <xf numFmtId="49" fontId="7" fillId="0" borderId="6"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0" fontId="2" fillId="0" borderId="2" xfId="0" applyFont="1" applyFill="1" applyBorder="1" applyAlignment="1">
      <alignment vertical="center"/>
    </xf>
    <xf numFmtId="0" fontId="2" fillId="0" borderId="14" xfId="0" applyFont="1" applyFill="1" applyBorder="1" applyAlignment="1">
      <alignment vertical="center"/>
    </xf>
    <xf numFmtId="0" fontId="2" fillId="0" borderId="14" xfId="0" applyFont="1" applyFill="1" applyBorder="1" applyAlignment="1">
      <alignment horizontal="center" vertical="center"/>
    </xf>
    <xf numFmtId="0" fontId="2" fillId="0" borderId="16" xfId="0" applyFont="1" applyFill="1" applyBorder="1" applyAlignment="1">
      <alignment vertical="center"/>
    </xf>
    <xf numFmtId="0" fontId="2" fillId="0" borderId="0" xfId="0" applyFont="1" applyFill="1" applyBorder="1" applyAlignment="1">
      <alignment vertical="center"/>
    </xf>
    <xf numFmtId="0" fontId="2" fillId="0" borderId="3" xfId="0" applyFont="1" applyFill="1" applyBorder="1" applyAlignment="1">
      <alignment vertical="center"/>
    </xf>
    <xf numFmtId="0" fontId="2" fillId="0" borderId="15" xfId="0" applyFont="1" applyFill="1" applyBorder="1" applyAlignment="1">
      <alignment vertical="center"/>
    </xf>
    <xf numFmtId="0" fontId="2" fillId="0" borderId="15" xfId="0" applyFont="1" applyFill="1" applyBorder="1" applyAlignment="1">
      <alignment horizontal="center" vertical="center"/>
    </xf>
    <xf numFmtId="10" fontId="7" fillId="0" borderId="6"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17" xfId="0" applyFont="1" applyFill="1" applyBorder="1" applyAlignment="1">
      <alignment horizontal="center" vertical="center"/>
    </xf>
    <xf numFmtId="0" fontId="2" fillId="0" borderId="3" xfId="0" applyFont="1" applyFill="1" applyBorder="1" applyAlignment="1">
      <alignment horizontal="center" vertical="center" wrapText="1"/>
    </xf>
    <xf numFmtId="10" fontId="7" fillId="0" borderId="1" xfId="3" applyNumberFormat="1" applyFont="1" applyFill="1" applyBorder="1" applyAlignment="1" applyProtection="1">
      <alignment horizontal="center" vertical="center"/>
    </xf>
    <xf numFmtId="0" fontId="7" fillId="0" borderId="4" xfId="0" applyNumberFormat="1"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7" xfId="0" applyFont="1" applyFill="1" applyBorder="1" applyAlignment="1">
      <alignment horizontal="center" vertical="center" wrapText="1"/>
    </xf>
    <xf numFmtId="10" fontId="7" fillId="0" borderId="4" xfId="0" applyNumberFormat="1" applyFont="1" applyFill="1" applyBorder="1" applyAlignment="1">
      <alignment horizontal="center" vertical="center" wrapText="1"/>
    </xf>
    <xf numFmtId="0" fontId="7" fillId="0" borderId="13" xfId="0" applyFont="1" applyFill="1" applyBorder="1" applyAlignment="1">
      <alignment horizontal="center" vertical="center"/>
    </xf>
    <xf numFmtId="10" fontId="7" fillId="0" borderId="13" xfId="0" applyNumberFormat="1" applyFont="1" applyFill="1" applyBorder="1" applyAlignment="1">
      <alignment horizontal="center" vertical="center" wrapText="1"/>
    </xf>
    <xf numFmtId="10" fontId="7" fillId="0" borderId="6"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1"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zhangfengqin395660\FileStorage\File\2024-07\2023&#22269;&#20225;&#36127;&#36131;&#20154;&#34218;&#37228;&#25253;&#22791;&#34920;&#38468;&#20214;1-7(14)(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工资总额预算执行情况表"/>
      <sheetName val="2.负责人薪酬情况表"/>
      <sheetName val="4.薪酬备案表"/>
      <sheetName val="6.负责人薪酬披露表"/>
      <sheetName val="4.工资总额情况表一"/>
      <sheetName val="5.工资总额情况表二"/>
      <sheetName val="7.工资总额披露表"/>
    </sheetNames>
    <sheetDataSet>
      <sheetData sheetId="0"/>
      <sheetData sheetId="1"/>
      <sheetData sheetId="2">
        <row r="9">
          <cell r="E9">
            <v>40.8</v>
          </cell>
        </row>
        <row r="9">
          <cell r="G9">
            <v>39.290323968</v>
          </cell>
          <cell r="H9">
            <v>32.74193664</v>
          </cell>
        </row>
        <row r="9">
          <cell r="J9">
            <v>21.0532</v>
          </cell>
          <cell r="K9">
            <v>11.68873664</v>
          </cell>
        </row>
        <row r="9">
          <cell r="R9">
            <v>11.53</v>
          </cell>
          <cell r="S9">
            <v>3.52</v>
          </cell>
          <cell r="T9">
            <v>1.94</v>
          </cell>
          <cell r="U9">
            <v>2.53</v>
          </cell>
        </row>
        <row r="9">
          <cell r="W9">
            <v>3.54</v>
          </cell>
        </row>
        <row r="10">
          <cell r="E10">
            <v>29.09</v>
          </cell>
        </row>
        <row r="10">
          <cell r="G10">
            <v>29.770909056</v>
          </cell>
          <cell r="H10">
            <v>24.80909088</v>
          </cell>
        </row>
        <row r="10">
          <cell r="J10">
            <v>15.7899</v>
          </cell>
          <cell r="K10">
            <v>9.01919088</v>
          </cell>
        </row>
        <row r="10">
          <cell r="R10">
            <v>10.19</v>
          </cell>
          <cell r="S10">
            <v>3.52</v>
          </cell>
          <cell r="T10">
            <v>1.94</v>
          </cell>
          <cell r="U10">
            <v>1.89</v>
          </cell>
        </row>
        <row r="10">
          <cell r="W10">
            <v>2.84</v>
          </cell>
        </row>
        <row r="11">
          <cell r="E11">
            <v>30.68</v>
          </cell>
        </row>
        <row r="11">
          <cell r="G11">
            <v>29.892175488</v>
          </cell>
          <cell r="H11">
            <v>24.91014624</v>
          </cell>
        </row>
        <row r="11">
          <cell r="J11">
            <v>15.7899</v>
          </cell>
          <cell r="K11">
            <v>9.12024624</v>
          </cell>
        </row>
        <row r="11">
          <cell r="R11">
            <v>10.19</v>
          </cell>
          <cell r="S11">
            <v>3.52</v>
          </cell>
          <cell r="T11">
            <v>1.94</v>
          </cell>
          <cell r="U11">
            <v>1.89</v>
          </cell>
        </row>
        <row r="11">
          <cell r="W11">
            <v>2.84</v>
          </cell>
        </row>
        <row r="12">
          <cell r="E12">
            <v>29.41</v>
          </cell>
        </row>
        <row r="12">
          <cell r="G12">
            <v>27.982229184</v>
          </cell>
          <cell r="H12">
            <v>23.31852432</v>
          </cell>
        </row>
        <row r="12">
          <cell r="J12">
            <v>15.7899</v>
          </cell>
          <cell r="K12">
            <v>7.52862432</v>
          </cell>
        </row>
        <row r="12">
          <cell r="R12">
            <v>10.19</v>
          </cell>
          <cell r="S12">
            <v>3.52</v>
          </cell>
          <cell r="T12">
            <v>1.94</v>
          </cell>
          <cell r="U12">
            <v>1.89</v>
          </cell>
        </row>
        <row r="12">
          <cell r="W12">
            <v>2.84</v>
          </cell>
        </row>
        <row r="13">
          <cell r="E13">
            <v>29.16</v>
          </cell>
        </row>
        <row r="13">
          <cell r="G13">
            <v>29.058468768</v>
          </cell>
          <cell r="H13">
            <v>24.21539064</v>
          </cell>
        </row>
        <row r="13">
          <cell r="J13">
            <v>15.7899</v>
          </cell>
          <cell r="K13">
            <v>8.42549064</v>
          </cell>
        </row>
        <row r="13">
          <cell r="R13">
            <v>10.19</v>
          </cell>
          <cell r="S13">
            <v>3.52</v>
          </cell>
          <cell r="T13">
            <v>1.94</v>
          </cell>
          <cell r="U13">
            <v>1.89</v>
          </cell>
        </row>
        <row r="13">
          <cell r="W13">
            <v>2.84</v>
          </cell>
        </row>
        <row r="14">
          <cell r="E14">
            <v>22.3478513335896</v>
          </cell>
        </row>
        <row r="14">
          <cell r="G14">
            <v>22.990619887872</v>
          </cell>
          <cell r="H14">
            <v>19.15884990656</v>
          </cell>
        </row>
        <row r="14">
          <cell r="J14">
            <v>13.68458</v>
          </cell>
          <cell r="K14">
            <v>5.47426990656</v>
          </cell>
        </row>
        <row r="14">
          <cell r="R14">
            <v>8.76</v>
          </cell>
          <cell r="S14">
            <v>3.13</v>
          </cell>
          <cell r="T14">
            <v>1.72</v>
          </cell>
          <cell r="U14">
            <v>1.56</v>
          </cell>
        </row>
        <row r="14">
          <cell r="W14">
            <v>2.35</v>
          </cell>
        </row>
        <row r="15">
          <cell r="E15">
            <v>17.190654871992</v>
          </cell>
        </row>
        <row r="15">
          <cell r="G15">
            <v>17.68509222144</v>
          </cell>
          <cell r="H15">
            <v>14.7375768512</v>
          </cell>
        </row>
        <row r="15">
          <cell r="J15">
            <v>10.5266</v>
          </cell>
          <cell r="K15">
            <v>4.2109768512</v>
          </cell>
        </row>
        <row r="15">
          <cell r="R15">
            <v>6.73</v>
          </cell>
          <cell r="S15">
            <v>2.41</v>
          </cell>
          <cell r="T15">
            <v>1.32</v>
          </cell>
          <cell r="U15">
            <v>1.2</v>
          </cell>
        </row>
        <row r="15">
          <cell r="W15">
            <v>1.8</v>
          </cell>
        </row>
        <row r="16">
          <cell r="E16">
            <v>22.38754865802</v>
          </cell>
        </row>
        <row r="16">
          <cell r="G16">
            <v>21.5591662923</v>
          </cell>
          <cell r="H16">
            <v>17.96597191025</v>
          </cell>
        </row>
        <row r="16">
          <cell r="J16">
            <v>13.68458</v>
          </cell>
          <cell r="K16">
            <v>4.28139191025</v>
          </cell>
        </row>
        <row r="16">
          <cell r="R16">
            <v>9.13</v>
          </cell>
          <cell r="S16">
            <v>3.2</v>
          </cell>
          <cell r="T16">
            <v>1.83</v>
          </cell>
          <cell r="U16">
            <v>1.6</v>
          </cell>
        </row>
        <row r="16">
          <cell r="W16">
            <v>2.4</v>
          </cell>
        </row>
        <row r="17">
          <cell r="E17">
            <v>17.2211912754</v>
          </cell>
        </row>
        <row r="17">
          <cell r="G17">
            <v>16.583974071</v>
          </cell>
          <cell r="H17">
            <v>13.8199783925</v>
          </cell>
        </row>
        <row r="17">
          <cell r="J17">
            <v>10.5266</v>
          </cell>
          <cell r="K17">
            <v>3.2933783925</v>
          </cell>
        </row>
        <row r="17">
          <cell r="R17">
            <v>7.03</v>
          </cell>
          <cell r="S17">
            <v>2.46</v>
          </cell>
          <cell r="T17">
            <v>1.42</v>
          </cell>
          <cell r="U17">
            <v>1.23</v>
          </cell>
        </row>
        <row r="17">
          <cell r="W17">
            <v>1.84</v>
          </cell>
        </row>
        <row r="18">
          <cell r="E18">
            <v>6.98</v>
          </cell>
        </row>
        <row r="18">
          <cell r="G18">
            <v>6.98</v>
          </cell>
          <cell r="H18">
            <v>6.98</v>
          </cell>
        </row>
        <row r="18">
          <cell r="J18">
            <v>6.98</v>
          </cell>
          <cell r="K18">
            <v>0</v>
          </cell>
        </row>
        <row r="18">
          <cell r="R18">
            <v>1.4</v>
          </cell>
        </row>
        <row r="19">
          <cell r="E19">
            <v>18.67</v>
          </cell>
        </row>
        <row r="19">
          <cell r="G19">
            <v>15.54769556592</v>
          </cell>
          <cell r="H19">
            <v>12.9564129716</v>
          </cell>
        </row>
        <row r="19">
          <cell r="J19">
            <v>10.5266</v>
          </cell>
          <cell r="K19">
            <v>2.4298129716</v>
          </cell>
        </row>
        <row r="19">
          <cell r="R19">
            <v>6.778104</v>
          </cell>
          <cell r="S19">
            <v>2.420736</v>
          </cell>
          <cell r="T19">
            <v>1.3314</v>
          </cell>
          <cell r="U19">
            <v>1.210368</v>
          </cell>
        </row>
        <row r="19">
          <cell r="W19">
            <v>1.8156</v>
          </cell>
        </row>
        <row r="20">
          <cell r="E20">
            <v>18.67</v>
          </cell>
        </row>
        <row r="20">
          <cell r="G20">
            <v>15.54769556592</v>
          </cell>
          <cell r="H20">
            <v>12.9564129716</v>
          </cell>
        </row>
        <row r="20">
          <cell r="J20">
            <v>10.5266</v>
          </cell>
          <cell r="K20">
            <v>2.4298129716</v>
          </cell>
        </row>
        <row r="20">
          <cell r="R20">
            <v>6.778104</v>
          </cell>
          <cell r="S20">
            <v>2.420736</v>
          </cell>
          <cell r="T20">
            <v>1.3314</v>
          </cell>
          <cell r="U20">
            <v>1.210368</v>
          </cell>
        </row>
        <row r="20">
          <cell r="W20">
            <v>1.8156</v>
          </cell>
        </row>
        <row r="21">
          <cell r="E21">
            <v>24.008513</v>
          </cell>
        </row>
        <row r="21">
          <cell r="G21">
            <v>27.0954684</v>
          </cell>
          <cell r="H21">
            <v>22.579557</v>
          </cell>
        </row>
        <row r="21">
          <cell r="J21">
            <v>13.68458</v>
          </cell>
          <cell r="K21">
            <v>8.894977</v>
          </cell>
        </row>
        <row r="21">
          <cell r="R21">
            <v>8</v>
          </cell>
          <cell r="S21">
            <v>2.86</v>
          </cell>
          <cell r="T21">
            <v>1.57</v>
          </cell>
          <cell r="U21">
            <v>1.43</v>
          </cell>
        </row>
        <row r="21">
          <cell r="W21">
            <v>2.14</v>
          </cell>
        </row>
        <row r="22">
          <cell r="E22">
            <v>18.475894875</v>
          </cell>
        </row>
        <row r="22">
          <cell r="G22">
            <v>18.94788</v>
          </cell>
          <cell r="H22">
            <v>15.7899</v>
          </cell>
        </row>
        <row r="22">
          <cell r="J22">
            <v>10.5266</v>
          </cell>
          <cell r="K22">
            <v>5.2633</v>
          </cell>
        </row>
        <row r="22">
          <cell r="R22">
            <v>6.16</v>
          </cell>
          <cell r="S22">
            <v>2.2</v>
          </cell>
          <cell r="T22">
            <v>1.21</v>
          </cell>
          <cell r="U22">
            <v>1.1</v>
          </cell>
        </row>
        <row r="22">
          <cell r="W22">
            <v>1.65</v>
          </cell>
        </row>
        <row r="23">
          <cell r="E23">
            <v>18.475894875</v>
          </cell>
        </row>
        <row r="23">
          <cell r="G23">
            <v>18.94788</v>
          </cell>
          <cell r="H23">
            <v>15.7899</v>
          </cell>
        </row>
        <row r="23">
          <cell r="J23">
            <v>10.5266</v>
          </cell>
          <cell r="K23">
            <v>5.2633</v>
          </cell>
        </row>
        <row r="23">
          <cell r="R23">
            <v>5.85</v>
          </cell>
          <cell r="S23">
            <v>2.1</v>
          </cell>
          <cell r="T23">
            <v>1.15</v>
          </cell>
          <cell r="U23">
            <v>1.03</v>
          </cell>
        </row>
        <row r="23">
          <cell r="W23">
            <v>1.57</v>
          </cell>
        </row>
      </sheetData>
      <sheetData sheetId="3"/>
      <sheetData sheetId="4"/>
      <sheetData sheetId="5"/>
      <sheetData sheetId="6">
        <row r="9">
          <cell r="E9">
            <v>10.9747368421053</v>
          </cell>
        </row>
        <row r="10">
          <cell r="E10">
            <v>10.815</v>
          </cell>
        </row>
        <row r="11">
          <cell r="E11">
            <v>8.53666666666667</v>
          </cell>
        </row>
        <row r="12">
          <cell r="E12">
            <v>5.10571428571429</v>
          </cell>
        </row>
        <row r="13">
          <cell r="E13">
            <v>9.69625</v>
          </cell>
        </row>
        <row r="14">
          <cell r="E14">
            <v>10.9358823529412</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9"/>
  <sheetViews>
    <sheetView topLeftCell="B1" workbookViewId="0">
      <selection activeCell="A29" sqref="$A29:$XFD29"/>
    </sheetView>
  </sheetViews>
  <sheetFormatPr defaultColWidth="10" defaultRowHeight="28" customHeight="1"/>
  <cols>
    <col min="1" max="1" width="4.30833333333333" style="2" customWidth="1"/>
    <col min="2" max="2" width="35.4416666666667" style="2" customWidth="1"/>
    <col min="3" max="3" width="19.3333333333333" style="2" customWidth="1"/>
    <col min="4" max="4" width="4.44166666666667" style="2" customWidth="1"/>
    <col min="5" max="5" width="10.6666666666667" style="2" customWidth="1"/>
    <col min="6" max="6" width="7.10833333333333" style="2" customWidth="1"/>
    <col min="7" max="7" width="7.33333333333333" style="2" customWidth="1"/>
    <col min="8" max="8" width="5.83333333333333" style="2" customWidth="1"/>
    <col min="9" max="9" width="11" style="2" customWidth="1"/>
    <col min="10" max="10" width="7.66666666666667" style="2" customWidth="1"/>
    <col min="11" max="11" width="8.89166666666667" style="2" customWidth="1"/>
    <col min="12" max="12" width="6.10833333333333" style="2" customWidth="1"/>
    <col min="13" max="13" width="6.225" style="2" customWidth="1"/>
    <col min="14" max="18" width="5.89166666666667" style="2" customWidth="1"/>
    <col min="19" max="19" width="9" style="2" customWidth="1"/>
    <col min="20" max="20" width="9.66666666666667" style="2" customWidth="1"/>
    <col min="21" max="21" width="10.3333333333333" style="2" customWidth="1"/>
    <col min="22" max="22" width="5.55833333333333" style="2" customWidth="1"/>
    <col min="23" max="23" width="5.975" style="2" customWidth="1"/>
    <col min="24" max="24" width="6.89166666666667" style="2" customWidth="1"/>
    <col min="25" max="25" width="8.475" style="2" customWidth="1"/>
    <col min="26" max="26" width="5.55833333333333" style="2" customWidth="1"/>
    <col min="27" max="27" width="6.10833333333333" style="2" customWidth="1"/>
    <col min="28" max="16384" width="10" style="2"/>
  </cols>
  <sheetData>
    <row r="1" s="2" customFormat="1" customHeight="1" spans="1:1">
      <c r="A1" s="2" t="s">
        <v>0</v>
      </c>
    </row>
    <row r="2" s="2" customFormat="1" customHeight="1" spans="1:27">
      <c r="A2" s="34" t="s">
        <v>1</v>
      </c>
      <c r="B2" s="34"/>
      <c r="C2" s="34"/>
      <c r="D2" s="34"/>
      <c r="E2" s="34"/>
      <c r="F2" s="34"/>
      <c r="G2" s="34"/>
      <c r="H2" s="34"/>
      <c r="I2" s="34"/>
      <c r="J2" s="34"/>
      <c r="K2" s="34"/>
      <c r="L2" s="34"/>
      <c r="M2" s="34"/>
      <c r="N2" s="34"/>
      <c r="O2" s="34"/>
      <c r="P2" s="34"/>
      <c r="Q2" s="34"/>
      <c r="R2" s="34"/>
      <c r="S2" s="34"/>
      <c r="T2" s="34"/>
      <c r="U2" s="34"/>
      <c r="V2" s="34"/>
      <c r="W2" s="34"/>
      <c r="X2" s="34"/>
      <c r="Y2" s="34"/>
      <c r="Z2" s="34"/>
      <c r="AA2" s="34"/>
    </row>
    <row r="4" s="2" customFormat="1" customHeight="1" spans="1:27">
      <c r="A4" s="2" t="s">
        <v>2</v>
      </c>
      <c r="L4" s="2" t="s">
        <v>3</v>
      </c>
      <c r="V4" s="129" t="s">
        <v>4</v>
      </c>
      <c r="W4" s="129"/>
      <c r="X4" s="129"/>
      <c r="Y4" s="129"/>
      <c r="Z4" s="129"/>
      <c r="AA4" s="129"/>
    </row>
    <row r="5" s="2" customFormat="1" customHeight="1" spans="1:27">
      <c r="A5" s="37" t="s">
        <v>5</v>
      </c>
      <c r="B5" s="37" t="s">
        <v>6</v>
      </c>
      <c r="C5" s="37" t="s">
        <v>7</v>
      </c>
      <c r="D5" s="37" t="s">
        <v>8</v>
      </c>
      <c r="E5" s="37" t="s">
        <v>9</v>
      </c>
      <c r="F5" s="37" t="s">
        <v>10</v>
      </c>
      <c r="G5" s="40" t="s">
        <v>11</v>
      </c>
      <c r="H5" s="41"/>
      <c r="I5" s="41"/>
      <c r="J5" s="41"/>
      <c r="K5" s="41"/>
      <c r="L5" s="36" t="s">
        <v>12</v>
      </c>
      <c r="M5" s="36"/>
      <c r="N5" s="36"/>
      <c r="O5" s="36"/>
      <c r="P5" s="36"/>
      <c r="Q5" s="36"/>
      <c r="R5" s="36"/>
      <c r="S5" s="56" t="s">
        <v>13</v>
      </c>
      <c r="T5" s="56"/>
      <c r="U5" s="56"/>
      <c r="V5" s="54" t="s">
        <v>14</v>
      </c>
      <c r="W5" s="44"/>
      <c r="X5" s="44"/>
      <c r="Y5" s="54" t="s">
        <v>15</v>
      </c>
      <c r="Z5" s="54"/>
      <c r="AA5" s="97" t="s">
        <v>16</v>
      </c>
    </row>
    <row r="6" s="2" customFormat="1" customHeight="1" spans="1:27">
      <c r="A6" s="37"/>
      <c r="B6" s="37"/>
      <c r="C6" s="37"/>
      <c r="D6" s="37"/>
      <c r="E6" s="37"/>
      <c r="F6" s="37"/>
      <c r="G6" s="109" t="s">
        <v>17</v>
      </c>
      <c r="H6" s="91"/>
      <c r="I6" s="37" t="s">
        <v>18</v>
      </c>
      <c r="J6" s="37" t="s">
        <v>19</v>
      </c>
      <c r="K6" s="37" t="s">
        <v>18</v>
      </c>
      <c r="L6" s="109" t="s">
        <v>20</v>
      </c>
      <c r="M6" s="3"/>
      <c r="N6" s="3"/>
      <c r="O6" s="3"/>
      <c r="P6" s="3"/>
      <c r="Q6" s="3"/>
      <c r="R6" s="91"/>
      <c r="S6" s="37" t="s">
        <v>21</v>
      </c>
      <c r="T6" s="37" t="s">
        <v>22</v>
      </c>
      <c r="U6" s="37" t="s">
        <v>18</v>
      </c>
      <c r="V6" s="130" t="s">
        <v>23</v>
      </c>
      <c r="W6" s="131" t="s">
        <v>24</v>
      </c>
      <c r="X6" s="132"/>
      <c r="Y6" s="136" t="s">
        <v>25</v>
      </c>
      <c r="Z6" s="37" t="s">
        <v>26</v>
      </c>
      <c r="AA6" s="97"/>
    </row>
    <row r="7" s="2" customFormat="1" customHeight="1" spans="1:27">
      <c r="A7" s="37"/>
      <c r="B7" s="37"/>
      <c r="C7" s="37"/>
      <c r="D7" s="37"/>
      <c r="E7" s="37"/>
      <c r="F7" s="37"/>
      <c r="G7" s="109"/>
      <c r="H7" s="44" t="s">
        <v>27</v>
      </c>
      <c r="I7" s="37"/>
      <c r="J7" s="37"/>
      <c r="K7" s="37"/>
      <c r="L7" s="109"/>
      <c r="M7" s="37" t="s">
        <v>28</v>
      </c>
      <c r="N7" s="37" t="s">
        <v>29</v>
      </c>
      <c r="O7" s="37" t="s">
        <v>30</v>
      </c>
      <c r="P7" s="37" t="s">
        <v>31</v>
      </c>
      <c r="Q7" s="37" t="s">
        <v>32</v>
      </c>
      <c r="R7" s="37" t="s">
        <v>33</v>
      </c>
      <c r="S7" s="37"/>
      <c r="T7" s="37"/>
      <c r="U7" s="37"/>
      <c r="V7" s="130"/>
      <c r="W7" s="109"/>
      <c r="X7" s="35" t="s">
        <v>18</v>
      </c>
      <c r="Y7" s="136"/>
      <c r="Z7" s="37"/>
      <c r="AA7" s="97"/>
    </row>
    <row r="8" s="2" customFormat="1" customHeight="1" spans="1:27">
      <c r="A8" s="37"/>
      <c r="B8" s="37"/>
      <c r="C8" s="37"/>
      <c r="D8" s="37"/>
      <c r="E8" s="37"/>
      <c r="F8" s="37"/>
      <c r="G8" s="109"/>
      <c r="H8" s="42"/>
      <c r="I8" s="37"/>
      <c r="J8" s="37"/>
      <c r="K8" s="37"/>
      <c r="L8" s="109"/>
      <c r="M8" s="35"/>
      <c r="N8" s="35"/>
      <c r="O8" s="35"/>
      <c r="P8" s="35"/>
      <c r="Q8" s="35"/>
      <c r="R8" s="35"/>
      <c r="S8" s="35"/>
      <c r="T8" s="35"/>
      <c r="U8" s="35"/>
      <c r="V8" s="131"/>
      <c r="W8" s="133"/>
      <c r="X8" s="46"/>
      <c r="Y8" s="137"/>
      <c r="Z8" s="35"/>
      <c r="AA8" s="99"/>
    </row>
    <row r="9" s="2" customFormat="1" customHeight="1" spans="1:27">
      <c r="A9" s="56" t="s">
        <v>34</v>
      </c>
      <c r="B9" s="110" t="s">
        <v>35</v>
      </c>
      <c r="C9" s="110" t="s">
        <v>36</v>
      </c>
      <c r="D9" s="110" t="s">
        <v>37</v>
      </c>
      <c r="E9" s="110" t="s">
        <v>38</v>
      </c>
      <c r="F9" s="110" t="s">
        <v>39</v>
      </c>
      <c r="G9" s="110" t="s">
        <v>40</v>
      </c>
      <c r="H9" s="110" t="s">
        <v>41</v>
      </c>
      <c r="I9" s="110" t="s">
        <v>42</v>
      </c>
      <c r="J9" s="110" t="s">
        <v>43</v>
      </c>
      <c r="K9" s="110" t="s">
        <v>44</v>
      </c>
      <c r="L9" s="110" t="s">
        <v>45</v>
      </c>
      <c r="M9" s="110" t="s">
        <v>46</v>
      </c>
      <c r="N9" s="110" t="s">
        <v>47</v>
      </c>
      <c r="O9" s="110" t="s">
        <v>48</v>
      </c>
      <c r="P9" s="110" t="s">
        <v>49</v>
      </c>
      <c r="Q9" s="110" t="s">
        <v>50</v>
      </c>
      <c r="R9" s="110" t="s">
        <v>51</v>
      </c>
      <c r="S9" s="110" t="s">
        <v>52</v>
      </c>
      <c r="T9" s="110" t="s">
        <v>53</v>
      </c>
      <c r="U9" s="110" t="s">
        <v>54</v>
      </c>
      <c r="V9" s="110" t="s">
        <v>55</v>
      </c>
      <c r="W9" s="113" t="s">
        <v>56</v>
      </c>
      <c r="X9" s="113" t="s">
        <v>57</v>
      </c>
      <c r="Y9" s="110" t="s">
        <v>58</v>
      </c>
      <c r="Z9" s="110" t="s">
        <v>59</v>
      </c>
      <c r="AA9" s="110" t="s">
        <v>60</v>
      </c>
    </row>
    <row r="10" s="2" customFormat="1" customHeight="1" spans="1:27">
      <c r="A10" s="99">
        <v>1</v>
      </c>
      <c r="B10" s="111" t="s">
        <v>61</v>
      </c>
      <c r="C10" s="111" t="s">
        <v>62</v>
      </c>
      <c r="D10" s="111">
        <v>5</v>
      </c>
      <c r="E10" s="111" t="s">
        <v>63</v>
      </c>
      <c r="F10" s="66">
        <v>21.05</v>
      </c>
      <c r="G10" s="66">
        <f t="shared" ref="G10:G14" si="0">J10/D10</f>
        <v>31.1988212928</v>
      </c>
      <c r="H10" s="111">
        <v>0</v>
      </c>
      <c r="I10" s="98">
        <f t="shared" ref="I10:I14" si="1">(G10-E10)/E10</f>
        <v>-0.0198296797737983</v>
      </c>
      <c r="J10" s="66">
        <f>'[1]4.薪酬备案表'!G9+'[1]4.薪酬备案表'!G10+'[1]4.薪酬备案表'!G11+'[1]4.薪酬备案表'!G12+'[1]4.薪酬备案表'!G13</f>
        <v>155.994106464</v>
      </c>
      <c r="K10" s="98">
        <f>(J10-'[1]4.薪酬备案表'!E9-'[1]4.薪酬备案表'!E10-'[1]4.薪酬备案表'!E11-'[1]4.薪酬备案表'!E12-'[1]4.薪酬备案表'!E13)/('[1]4.薪酬备案表'!E9+'[1]4.薪酬备案表'!E10+'[1]4.薪酬备案表'!E11+'[1]4.薪酬备案表'!E12+'[1]4.薪酬备案表'!E13)</f>
        <v>-0.0197680880733945</v>
      </c>
      <c r="L10" s="66">
        <f t="shared" ref="L10:L14" si="2">N10+M10+O10+P10+Q10+R10</f>
        <v>10.458</v>
      </c>
      <c r="M10" s="66">
        <f>('[1]4.薪酬备案表'!S9+'[1]4.薪酬备案表'!S10+'[1]4.薪酬备案表'!S11+'[1]4.薪酬备案表'!S12+'[1]4.薪酬备案表'!S13)/D10</f>
        <v>3.52</v>
      </c>
      <c r="N10" s="66">
        <f>('[1]4.薪酬备案表'!T9+'[1]4.薪酬备案表'!T10+'[1]4.薪酬备案表'!T11+'[1]4.薪酬备案表'!T12+'[1]4.薪酬备案表'!T13)/D10</f>
        <v>1.94</v>
      </c>
      <c r="O10" s="66">
        <f>('[1]4.薪酬备案表'!U9+'[1]4.薪酬备案表'!U10+'[1]4.薪酬备案表'!U11+'[1]4.薪酬备案表'!U12+'[1]4.薪酬备案表'!U13)/D10</f>
        <v>2.018</v>
      </c>
      <c r="P10" s="66">
        <v>0</v>
      </c>
      <c r="Q10" s="66">
        <f>('[1]4.薪酬备案表'!W9+'[1]4.薪酬备案表'!W10+'[1]4.薪酬备案表'!W11+'[1]4.薪酬备案表'!W12+'[1]4.薪酬备案表'!W13)/D10</f>
        <v>2.98</v>
      </c>
      <c r="R10" s="66">
        <v>0</v>
      </c>
      <c r="S10" s="110" t="s">
        <v>64</v>
      </c>
      <c r="T10" s="110" t="s">
        <v>65</v>
      </c>
      <c r="U10" s="96">
        <f>(T10-26.27)/26.27</f>
        <v>-38.6848115721355</v>
      </c>
      <c r="V10" s="111" t="s">
        <v>66</v>
      </c>
      <c r="W10" s="66">
        <f>'[1]7.工资总额披露表'!E9</f>
        <v>10.9747368421053</v>
      </c>
      <c r="X10" s="98">
        <f>(W10-6.21)/6.21</f>
        <v>0.767268412577337</v>
      </c>
      <c r="Y10" s="64" t="s">
        <v>67</v>
      </c>
      <c r="Z10" s="138" t="s">
        <v>68</v>
      </c>
      <c r="AA10" s="54"/>
    </row>
    <row r="11" s="2" customFormat="1" customHeight="1" spans="1:27">
      <c r="A11" s="112"/>
      <c r="B11" s="113"/>
      <c r="C11" s="113"/>
      <c r="D11" s="113"/>
      <c r="E11" s="113"/>
      <c r="F11" s="114"/>
      <c r="G11" s="114"/>
      <c r="H11" s="113"/>
      <c r="I11" s="128"/>
      <c r="J11" s="114"/>
      <c r="K11" s="128"/>
      <c r="L11" s="114"/>
      <c r="M11" s="114"/>
      <c r="N11" s="114"/>
      <c r="O11" s="114"/>
      <c r="P11" s="114"/>
      <c r="Q11" s="114"/>
      <c r="R11" s="114"/>
      <c r="S11" s="110" t="s">
        <v>69</v>
      </c>
      <c r="T11" s="110" t="s">
        <v>70</v>
      </c>
      <c r="U11" s="96">
        <f>(T11-15777.57)/15777.57</f>
        <v>0.0131617226226852</v>
      </c>
      <c r="V11" s="113"/>
      <c r="W11" s="114"/>
      <c r="X11" s="128"/>
      <c r="Y11" s="139"/>
      <c r="Z11" s="140"/>
      <c r="AA11" s="54"/>
    </row>
    <row r="12" s="2" customFormat="1" customHeight="1" spans="1:27">
      <c r="A12" s="99">
        <v>2</v>
      </c>
      <c r="B12" s="64" t="s">
        <v>71</v>
      </c>
      <c r="C12" s="64" t="s">
        <v>72</v>
      </c>
      <c r="D12" s="64">
        <v>2</v>
      </c>
      <c r="E12" s="64">
        <v>19.77</v>
      </c>
      <c r="F12" s="66">
        <v>21.05</v>
      </c>
      <c r="G12" s="66">
        <f t="shared" si="0"/>
        <v>20.337856054656</v>
      </c>
      <c r="H12" s="64">
        <v>0</v>
      </c>
      <c r="I12" s="98">
        <f t="shared" si="1"/>
        <v>0.0287231185966617</v>
      </c>
      <c r="J12" s="66">
        <f>'[1]4.薪酬备案表'!G14+'[1]4.薪酬备案表'!G15</f>
        <v>40.675712109312</v>
      </c>
      <c r="K12" s="98">
        <f>(J12-'[1]4.薪酬备案表'!E14-'[1]4.薪酬备案表'!E15)/('[1]4.薪酬备案表'!E14+'[1]4.薪酬备案表'!E15)</f>
        <v>0.0287619845276265</v>
      </c>
      <c r="L12" s="66">
        <f t="shared" si="2"/>
        <v>7.745</v>
      </c>
      <c r="M12" s="64">
        <f>('[1]4.薪酬备案表'!S14+'[1]4.薪酬备案表'!S15)/D12</f>
        <v>2.77</v>
      </c>
      <c r="N12" s="66">
        <f>('[1]4.薪酬备案表'!T14+'[1]4.薪酬备案表'!T15)/D12</f>
        <v>1.52</v>
      </c>
      <c r="O12" s="66">
        <f>('[1]4.薪酬备案表'!U14+'[1]4.薪酬备案表'!U15)/D12</f>
        <v>1.38</v>
      </c>
      <c r="P12" s="66">
        <v>0</v>
      </c>
      <c r="Q12" s="66">
        <f>('[1]4.薪酬备案表'!W14+'[1]4.薪酬备案表'!W15)/D12</f>
        <v>2.075</v>
      </c>
      <c r="R12" s="66">
        <v>0</v>
      </c>
      <c r="S12" s="110" t="s">
        <v>64</v>
      </c>
      <c r="T12" s="110" t="s">
        <v>73</v>
      </c>
      <c r="U12" s="96">
        <f>(440.33-363.38)/363.38</f>
        <v>0.211761792063405</v>
      </c>
      <c r="V12" s="111">
        <v>6</v>
      </c>
      <c r="W12" s="66">
        <f>'[1]7.工资总额披露表'!E10</f>
        <v>10.815</v>
      </c>
      <c r="X12" s="98">
        <f>(W12-7.34)/7.34</f>
        <v>0.473433242506812</v>
      </c>
      <c r="Y12" s="139"/>
      <c r="Z12" s="140"/>
      <c r="AA12" s="54"/>
    </row>
    <row r="13" s="2" customFormat="1" customHeight="1" spans="1:27">
      <c r="A13" s="112"/>
      <c r="B13" s="115"/>
      <c r="C13" s="115"/>
      <c r="D13" s="115"/>
      <c r="E13" s="115"/>
      <c r="F13" s="114"/>
      <c r="G13" s="114"/>
      <c r="H13" s="115"/>
      <c r="I13" s="128"/>
      <c r="J13" s="114"/>
      <c r="K13" s="128"/>
      <c r="L13" s="114"/>
      <c r="M13" s="115"/>
      <c r="N13" s="114"/>
      <c r="O13" s="114"/>
      <c r="P13" s="114"/>
      <c r="Q13" s="114"/>
      <c r="R13" s="114"/>
      <c r="S13" s="110" t="s">
        <v>69</v>
      </c>
      <c r="T13" s="110" t="s">
        <v>74</v>
      </c>
      <c r="U13" s="96">
        <f>(3052.12-2706.17)/2706.17</f>
        <v>0.127837497274746</v>
      </c>
      <c r="V13" s="113"/>
      <c r="W13" s="114"/>
      <c r="X13" s="128"/>
      <c r="Y13" s="139"/>
      <c r="Z13" s="140"/>
      <c r="AA13" s="56"/>
    </row>
    <row r="14" s="2" customFormat="1" customHeight="1" spans="1:27">
      <c r="A14" s="99">
        <v>3</v>
      </c>
      <c r="B14" s="116" t="s">
        <v>75</v>
      </c>
      <c r="C14" s="116" t="s">
        <v>76</v>
      </c>
      <c r="D14" s="116">
        <v>2</v>
      </c>
      <c r="E14" s="64">
        <v>19.8</v>
      </c>
      <c r="F14" s="66">
        <v>21.05</v>
      </c>
      <c r="G14" s="66">
        <f t="shared" si="0"/>
        <v>19.07157018165</v>
      </c>
      <c r="H14" s="64">
        <v>0</v>
      </c>
      <c r="I14" s="98">
        <f t="shared" si="1"/>
        <v>-0.0367893847651514</v>
      </c>
      <c r="J14" s="66">
        <f>'[1]4.薪酬备案表'!G16+'[1]4.薪酬备案表'!G17</f>
        <v>38.1431403633</v>
      </c>
      <c r="K14" s="98">
        <f>(J14-'[1]4.薪酬备案表'!E16+'[1]4.薪酬备案表'!E1-'[1]4.薪酬备案表'!E17)/('[1]4.薪酬备案表'!E16+'[1]4.薪酬备案表'!E17)</f>
        <v>-0.0370019236305821</v>
      </c>
      <c r="L14" s="66">
        <f t="shared" si="2"/>
        <v>8.17</v>
      </c>
      <c r="M14" s="64">
        <f>('[1]4.薪酬备案表'!S16+'[1]4.薪酬备案表'!S17)/D14</f>
        <v>2.83</v>
      </c>
      <c r="N14" s="66">
        <f>('[1]4.薪酬备案表'!T16+'[1]4.薪酬备案表'!T17)/D14</f>
        <v>1.625</v>
      </c>
      <c r="O14" s="66">
        <f>('[1]4.薪酬备案表'!U16+'[1]4.薪酬备案表'!U17)/D14</f>
        <v>1.415</v>
      </c>
      <c r="P14" s="66">
        <v>0</v>
      </c>
      <c r="Q14" s="66">
        <f>('[1]4.薪酬备案表'!W16+'[1]4.薪酬备案表'!W17)/D14</f>
        <v>2.12</v>
      </c>
      <c r="R14" s="66">
        <v>0.18</v>
      </c>
      <c r="S14" s="56" t="s">
        <v>69</v>
      </c>
      <c r="T14" s="56">
        <v>8908.31</v>
      </c>
      <c r="U14" s="96">
        <f>(T14-10199.89)/10199.89</f>
        <v>-0.126626855779817</v>
      </c>
      <c r="V14" s="64">
        <v>9</v>
      </c>
      <c r="W14" s="66">
        <f>'[1]7.工资总额披露表'!E11</f>
        <v>8.53666666666667</v>
      </c>
      <c r="X14" s="98">
        <f>(W14-6.82)/6.82</f>
        <v>0.251710654936461</v>
      </c>
      <c r="Y14" s="139"/>
      <c r="Z14" s="140"/>
      <c r="AA14" s="56"/>
    </row>
    <row r="15" s="2" customFormat="1" customHeight="1" spans="1:27">
      <c r="A15" s="112"/>
      <c r="B15" s="117"/>
      <c r="C15" s="117"/>
      <c r="D15" s="117"/>
      <c r="E15" s="115"/>
      <c r="F15" s="114"/>
      <c r="G15" s="114"/>
      <c r="H15" s="115"/>
      <c r="I15" s="128"/>
      <c r="J15" s="114"/>
      <c r="K15" s="128"/>
      <c r="L15" s="114"/>
      <c r="M15" s="115"/>
      <c r="N15" s="114"/>
      <c r="O15" s="114"/>
      <c r="P15" s="114"/>
      <c r="Q15" s="114"/>
      <c r="R15" s="114"/>
      <c r="S15" s="56" t="s">
        <v>64</v>
      </c>
      <c r="T15" s="56">
        <v>-982.11</v>
      </c>
      <c r="U15" s="96">
        <f>(T15-22.86)/22.86</f>
        <v>-43.9619422572178</v>
      </c>
      <c r="V15" s="115"/>
      <c r="W15" s="114"/>
      <c r="X15" s="128"/>
      <c r="Y15" s="139"/>
      <c r="Z15" s="140"/>
      <c r="AA15" s="56"/>
    </row>
    <row r="16" s="3" customFormat="1" customHeight="1" spans="1:27">
      <c r="A16" s="116">
        <v>4</v>
      </c>
      <c r="B16" s="35" t="s">
        <v>77</v>
      </c>
      <c r="C16" s="35" t="s">
        <v>78</v>
      </c>
      <c r="D16" s="35">
        <v>1</v>
      </c>
      <c r="E16" s="64">
        <v>6.98</v>
      </c>
      <c r="F16" s="66">
        <v>6.98</v>
      </c>
      <c r="G16" s="66">
        <f t="shared" ref="G16:G20" si="3">J16/D16</f>
        <v>6.98</v>
      </c>
      <c r="H16" s="64">
        <v>0</v>
      </c>
      <c r="I16" s="98">
        <f t="shared" ref="I16:I20" si="4">(G16-E16)/E16</f>
        <v>0</v>
      </c>
      <c r="J16" s="64">
        <f>'[1]4.薪酬备案表'!G18</f>
        <v>6.98</v>
      </c>
      <c r="K16" s="98">
        <f>(J16-'[1]4.薪酬备案表'!E18)/'[1]4.薪酬备案表'!E18</f>
        <v>0</v>
      </c>
      <c r="L16" s="66">
        <f t="shared" ref="L16:L20" si="5">N16+M16+O16+P16+Q16+R16</f>
        <v>1.4</v>
      </c>
      <c r="M16" s="64">
        <v>0.9</v>
      </c>
      <c r="N16" s="64">
        <v>0.5</v>
      </c>
      <c r="O16" s="66">
        <v>0</v>
      </c>
      <c r="P16" s="66">
        <v>0</v>
      </c>
      <c r="Q16" s="66">
        <v>0</v>
      </c>
      <c r="R16" s="66">
        <v>0</v>
      </c>
      <c r="S16" s="56" t="s">
        <v>69</v>
      </c>
      <c r="T16" s="56">
        <v>34.68</v>
      </c>
      <c r="U16" s="96">
        <f>(34.68-43.73)/43.73</f>
        <v>-0.206951749371141</v>
      </c>
      <c r="V16" s="64">
        <v>7</v>
      </c>
      <c r="W16" s="66">
        <f>'[1]7.工资总额披露表'!E12</f>
        <v>5.10571428571429</v>
      </c>
      <c r="X16" s="98">
        <f>(W16-6.05)/6.05</f>
        <v>-0.156080283353011</v>
      </c>
      <c r="Y16" s="139"/>
      <c r="Z16" s="140"/>
      <c r="AA16" s="56"/>
    </row>
    <row r="17" s="2" customFormat="1" customHeight="1" spans="1:27">
      <c r="A17" s="117"/>
      <c r="B17" s="46"/>
      <c r="C17" s="46"/>
      <c r="D17" s="46"/>
      <c r="E17" s="115"/>
      <c r="F17" s="114"/>
      <c r="G17" s="114"/>
      <c r="H17" s="115"/>
      <c r="I17" s="128"/>
      <c r="J17" s="115"/>
      <c r="K17" s="128"/>
      <c r="L17" s="114"/>
      <c r="M17" s="115"/>
      <c r="N17" s="115"/>
      <c r="O17" s="115"/>
      <c r="P17" s="115"/>
      <c r="Q17" s="115"/>
      <c r="R17" s="115"/>
      <c r="S17" s="56" t="s">
        <v>64</v>
      </c>
      <c r="T17" s="56">
        <v>-73.43</v>
      </c>
      <c r="U17" s="96">
        <f>(-73.43-(-119.49))/-119.49</f>
        <v>-0.385471587580551</v>
      </c>
      <c r="V17" s="115"/>
      <c r="W17" s="114"/>
      <c r="X17" s="128"/>
      <c r="Y17" s="139"/>
      <c r="Z17" s="140"/>
      <c r="AA17" s="56"/>
    </row>
    <row r="18" s="3" customFormat="1" customHeight="1" spans="1:27">
      <c r="A18" s="116">
        <v>6</v>
      </c>
      <c r="B18" s="35" t="s">
        <v>79</v>
      </c>
      <c r="C18" s="35" t="s">
        <v>80</v>
      </c>
      <c r="D18" s="116">
        <v>2</v>
      </c>
      <c r="E18" s="64">
        <v>18.67</v>
      </c>
      <c r="F18" s="66">
        <v>21.05</v>
      </c>
      <c r="G18" s="66">
        <f t="shared" si="3"/>
        <v>15.54769556592</v>
      </c>
      <c r="H18" s="64">
        <v>0</v>
      </c>
      <c r="I18" s="98">
        <f t="shared" si="4"/>
        <v>-0.167236445317622</v>
      </c>
      <c r="J18" s="66">
        <f>('[1]4.薪酬备案表'!G19+'[1]4.薪酬备案表'!G20)</f>
        <v>31.09539113184</v>
      </c>
      <c r="K18" s="98">
        <f>(J18-'[1]4.薪酬备案表'!E19-'[1]4.薪酬备案表'!E20)/('[1]4.薪酬备案表'!E19+'[1]4.薪酬备案表'!E20)</f>
        <v>-0.167236445317622</v>
      </c>
      <c r="L18" s="66">
        <f t="shared" si="5"/>
        <v>6.778104</v>
      </c>
      <c r="M18" s="66">
        <f>('[1]4.薪酬备案表'!S19+'[1]4.薪酬备案表'!S20)/D18</f>
        <v>2.420736</v>
      </c>
      <c r="N18" s="66">
        <f>('[1]4.薪酬备案表'!T19+'[1]4.薪酬备案表'!T20)/D18</f>
        <v>1.3314</v>
      </c>
      <c r="O18" s="66">
        <f>('[1]4.薪酬备案表'!U19+'[1]4.薪酬备案表'!U20)/D18</f>
        <v>1.210368</v>
      </c>
      <c r="P18" s="66">
        <v>0</v>
      </c>
      <c r="Q18" s="66">
        <f>('[1]4.薪酬备案表'!W19+'[1]4.薪酬备案表'!W20)/D18</f>
        <v>1.8156</v>
      </c>
      <c r="R18" s="66">
        <v>0</v>
      </c>
      <c r="S18" s="54" t="s">
        <v>64</v>
      </c>
      <c r="T18" s="101">
        <v>-188.43</v>
      </c>
      <c r="U18" s="96">
        <f>(T18-209.87)/209.87</f>
        <v>-1.89784152094154</v>
      </c>
      <c r="V18" s="56">
        <v>8</v>
      </c>
      <c r="W18" s="57">
        <f>'[1]7.工资总额披露表'!E13</f>
        <v>9.69625</v>
      </c>
      <c r="X18" s="98">
        <f>(W18-9.32)/9.32</f>
        <v>0.0403701716738196</v>
      </c>
      <c r="Y18" s="139"/>
      <c r="Z18" s="140"/>
      <c r="AA18" s="104"/>
    </row>
    <row r="19" s="3" customFormat="1" customHeight="1" spans="1:27">
      <c r="A19" s="117"/>
      <c r="B19" s="46"/>
      <c r="C19" s="46"/>
      <c r="D19" s="117"/>
      <c r="E19" s="115"/>
      <c r="F19" s="114"/>
      <c r="G19" s="114"/>
      <c r="H19" s="115"/>
      <c r="I19" s="128"/>
      <c r="J19" s="114"/>
      <c r="K19" s="128"/>
      <c r="L19" s="114"/>
      <c r="M19" s="114"/>
      <c r="N19" s="114"/>
      <c r="O19" s="114"/>
      <c r="P19" s="114"/>
      <c r="Q19" s="114"/>
      <c r="R19" s="114"/>
      <c r="S19" s="54" t="s">
        <v>69</v>
      </c>
      <c r="T19" s="101">
        <v>3530.34</v>
      </c>
      <c r="U19" s="134">
        <f>(T19-3407.68)/3407.68</f>
        <v>0.0359951638651518</v>
      </c>
      <c r="V19" s="56"/>
      <c r="W19" s="57"/>
      <c r="X19" s="128"/>
      <c r="Y19" s="139"/>
      <c r="Z19" s="140"/>
      <c r="AA19" s="104"/>
    </row>
    <row r="20" s="3" customFormat="1" customHeight="1" spans="1:27">
      <c r="A20" s="116">
        <v>5</v>
      </c>
      <c r="B20" s="118" t="s">
        <v>81</v>
      </c>
      <c r="C20" s="118" t="s">
        <v>82</v>
      </c>
      <c r="D20" s="118" t="s">
        <v>83</v>
      </c>
      <c r="E20" s="111" t="s">
        <v>84</v>
      </c>
      <c r="F20" s="66">
        <v>21.05</v>
      </c>
      <c r="G20" s="66">
        <f t="shared" si="3"/>
        <v>21.6637428</v>
      </c>
      <c r="H20" s="111">
        <v>0</v>
      </c>
      <c r="I20" s="98">
        <f t="shared" si="4"/>
        <v>0.0661290748031495</v>
      </c>
      <c r="J20" s="66">
        <f>('[1]4.薪酬备案表'!G21+'[1]4.薪酬备案表'!G22+'[1]4.薪酬备案表'!G23)</f>
        <v>64.9912284</v>
      </c>
      <c r="K20" s="98">
        <f>(J20-'[1]4.薪酬备案表'!E21-'[1]4.薪酬备案表'!E22-'[1]4.薪酬备案表'!E23)/('[1]4.薪酬备案表'!E21+'[1]4.薪酬备案表'!E22+'[1]4.薪酬备案表'!E23)</f>
        <v>0.066123780036509</v>
      </c>
      <c r="L20" s="66">
        <f t="shared" si="5"/>
        <v>6.67</v>
      </c>
      <c r="M20" s="66">
        <f>('[1]4.薪酬备案表'!S21+'[1]4.薪酬备案表'!S22+'[1]4.薪酬备案表'!S23)/D20</f>
        <v>2.38666666666667</v>
      </c>
      <c r="N20" s="66">
        <f>('[1]4.薪酬备案表'!T21+'[1]4.薪酬备案表'!T22+'[1]4.薪酬备案表'!T23)/D20</f>
        <v>1.31</v>
      </c>
      <c r="O20" s="66">
        <f>('[1]4.薪酬备案表'!U21+'[1]4.薪酬备案表'!U22+'[1]4.薪酬备案表'!U23)/D20</f>
        <v>1.18666666666667</v>
      </c>
      <c r="P20" s="66">
        <v>0</v>
      </c>
      <c r="Q20" s="66">
        <f>('[1]4.薪酬备案表'!W21+'[1]4.薪酬备案表'!W22+'[1]4.薪酬备案表'!W23)/D20</f>
        <v>1.78666666666667</v>
      </c>
      <c r="R20" s="66">
        <v>0</v>
      </c>
      <c r="S20" s="110" t="s">
        <v>64</v>
      </c>
      <c r="T20" s="110" t="s">
        <v>85</v>
      </c>
      <c r="U20" s="96">
        <f>(T20-3.71)/3.71</f>
        <v>16.277628032345</v>
      </c>
      <c r="V20" s="135">
        <v>17</v>
      </c>
      <c r="W20" s="66">
        <f>'[1]7.工资总额披露表'!E14</f>
        <v>10.9358823529412</v>
      </c>
      <c r="X20" s="98">
        <f>(W20-10.52)/10.52</f>
        <v>0.0395325430552449</v>
      </c>
      <c r="Y20" s="139"/>
      <c r="Z20" s="140"/>
      <c r="AA20" s="104"/>
    </row>
    <row r="21" s="3" customFormat="1" customHeight="1" spans="1:27">
      <c r="A21" s="117"/>
      <c r="B21" s="119"/>
      <c r="C21" s="119"/>
      <c r="D21" s="119"/>
      <c r="E21" s="113"/>
      <c r="F21" s="114"/>
      <c r="G21" s="114"/>
      <c r="H21" s="113"/>
      <c r="I21" s="128"/>
      <c r="J21" s="114"/>
      <c r="K21" s="128"/>
      <c r="L21" s="114"/>
      <c r="M21" s="114"/>
      <c r="N21" s="114"/>
      <c r="O21" s="114"/>
      <c r="P21" s="114"/>
      <c r="Q21" s="114"/>
      <c r="R21" s="114"/>
      <c r="S21" s="110" t="s">
        <v>69</v>
      </c>
      <c r="T21" s="110" t="s">
        <v>86</v>
      </c>
      <c r="U21" s="96">
        <f>(T21-1222.26)/1222.26</f>
        <v>0.461162109534796</v>
      </c>
      <c r="V21" s="113"/>
      <c r="W21" s="114"/>
      <c r="X21" s="128"/>
      <c r="Y21" s="115"/>
      <c r="Z21" s="141"/>
      <c r="AA21" s="104"/>
    </row>
    <row r="22" s="3" customFormat="1" customHeight="1" spans="1:27">
      <c r="A22" s="120" t="s">
        <v>87</v>
      </c>
      <c r="B22" s="121"/>
      <c r="C22" s="121"/>
      <c r="D22" s="122"/>
      <c r="E22" s="122"/>
      <c r="F22" s="122"/>
      <c r="G22" s="122"/>
      <c r="H22" s="122"/>
      <c r="I22" s="122"/>
      <c r="J22" s="122"/>
      <c r="K22" s="122"/>
      <c r="L22" s="122"/>
      <c r="M22" s="122"/>
      <c r="N22" s="122"/>
      <c r="O22" s="122"/>
      <c r="P22" s="122"/>
      <c r="Q22" s="122"/>
      <c r="R22" s="122"/>
      <c r="X22" s="122"/>
      <c r="Y22" s="122"/>
      <c r="Z22" s="122"/>
      <c r="AA22" s="87"/>
    </row>
    <row r="23" s="3" customFormat="1" customHeight="1" spans="1:27">
      <c r="A23" s="123" t="s">
        <v>88</v>
      </c>
      <c r="B23" s="124"/>
      <c r="C23" s="124"/>
      <c r="AA23" s="91"/>
    </row>
    <row r="24" s="3" customFormat="1" customHeight="1" spans="1:27">
      <c r="A24" s="123" t="s">
        <v>89</v>
      </c>
      <c r="B24" s="124"/>
      <c r="C24" s="124"/>
      <c r="AA24" s="91"/>
    </row>
    <row r="25" s="3" customFormat="1" customHeight="1" spans="1:27">
      <c r="A25" s="123" t="s">
        <v>90</v>
      </c>
      <c r="B25" s="124"/>
      <c r="C25" s="124"/>
      <c r="AA25" s="91"/>
    </row>
    <row r="26" s="3" customFormat="1" customHeight="1" spans="1:27">
      <c r="A26" s="123" t="s">
        <v>91</v>
      </c>
      <c r="B26" s="124"/>
      <c r="C26" s="124"/>
      <c r="AA26" s="91"/>
    </row>
    <row r="27" s="3" customFormat="1" customHeight="1" spans="1:27">
      <c r="A27" s="123" t="s">
        <v>92</v>
      </c>
      <c r="B27" s="124"/>
      <c r="C27" s="124"/>
      <c r="AA27" s="91"/>
    </row>
    <row r="28" s="3" customFormat="1" customHeight="1" spans="1:27">
      <c r="A28" s="125" t="s">
        <v>93</v>
      </c>
      <c r="B28" s="126"/>
      <c r="C28" s="126"/>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94"/>
    </row>
    <row r="29" s="2" customFormat="1" hidden="1" customHeight="1" spans="1:22">
      <c r="A29" s="78" t="s">
        <v>94</v>
      </c>
      <c r="B29" s="78"/>
      <c r="L29" s="2" t="s">
        <v>95</v>
      </c>
      <c r="U29" s="78" t="s">
        <v>96</v>
      </c>
      <c r="V29" s="78"/>
    </row>
  </sheetData>
  <mergeCells count="163">
    <mergeCell ref="A2:AA2"/>
    <mergeCell ref="V4:AA4"/>
    <mergeCell ref="G5:K5"/>
    <mergeCell ref="L5:R5"/>
    <mergeCell ref="S5:U5"/>
    <mergeCell ref="V5:X5"/>
    <mergeCell ref="Y5:Z5"/>
    <mergeCell ref="A29:B29"/>
    <mergeCell ref="A5:A8"/>
    <mergeCell ref="A10:A11"/>
    <mergeCell ref="A12:A13"/>
    <mergeCell ref="A14:A15"/>
    <mergeCell ref="A16:A17"/>
    <mergeCell ref="A18:A19"/>
    <mergeCell ref="A20:A21"/>
    <mergeCell ref="B5:B8"/>
    <mergeCell ref="B10:B11"/>
    <mergeCell ref="B12:B13"/>
    <mergeCell ref="B14:B15"/>
    <mergeCell ref="B16:B17"/>
    <mergeCell ref="B18:B19"/>
    <mergeCell ref="B20:B21"/>
    <mergeCell ref="C5:C8"/>
    <mergeCell ref="C10:C11"/>
    <mergeCell ref="C12:C13"/>
    <mergeCell ref="C14:C15"/>
    <mergeCell ref="C16:C17"/>
    <mergeCell ref="C18:C19"/>
    <mergeCell ref="C20:C21"/>
    <mergeCell ref="D5:D8"/>
    <mergeCell ref="D10:D11"/>
    <mergeCell ref="D12:D13"/>
    <mergeCell ref="D14:D15"/>
    <mergeCell ref="D16:D17"/>
    <mergeCell ref="D18:D19"/>
    <mergeCell ref="D20:D21"/>
    <mergeCell ref="E5:E8"/>
    <mergeCell ref="E10:E11"/>
    <mergeCell ref="E12:E13"/>
    <mergeCell ref="E14:E15"/>
    <mergeCell ref="E16:E17"/>
    <mergeCell ref="E18:E19"/>
    <mergeCell ref="E20:E21"/>
    <mergeCell ref="F5:F8"/>
    <mergeCell ref="F10:F11"/>
    <mergeCell ref="F12:F13"/>
    <mergeCell ref="F14:F15"/>
    <mergeCell ref="F16:F17"/>
    <mergeCell ref="F18:F19"/>
    <mergeCell ref="F20:F21"/>
    <mergeCell ref="G6:G8"/>
    <mergeCell ref="G10:G11"/>
    <mergeCell ref="G12:G13"/>
    <mergeCell ref="G14:G15"/>
    <mergeCell ref="G16:G17"/>
    <mergeCell ref="G18:G19"/>
    <mergeCell ref="G20:G21"/>
    <mergeCell ref="H7:H8"/>
    <mergeCell ref="H10:H11"/>
    <mergeCell ref="H12:H13"/>
    <mergeCell ref="H14:H15"/>
    <mergeCell ref="H16:H17"/>
    <mergeCell ref="H18:H19"/>
    <mergeCell ref="H20:H21"/>
    <mergeCell ref="I6:I8"/>
    <mergeCell ref="I10:I11"/>
    <mergeCell ref="I12:I13"/>
    <mergeCell ref="I14:I15"/>
    <mergeCell ref="I16:I17"/>
    <mergeCell ref="I18:I19"/>
    <mergeCell ref="I20:I21"/>
    <mergeCell ref="J6:J8"/>
    <mergeCell ref="J10:J11"/>
    <mergeCell ref="J12:J13"/>
    <mergeCell ref="J14:J15"/>
    <mergeCell ref="J16:J17"/>
    <mergeCell ref="J18:J19"/>
    <mergeCell ref="J20:J21"/>
    <mergeCell ref="K6:K8"/>
    <mergeCell ref="K10:K11"/>
    <mergeCell ref="K12:K13"/>
    <mergeCell ref="K14:K15"/>
    <mergeCell ref="K16:K17"/>
    <mergeCell ref="K18:K19"/>
    <mergeCell ref="K20:K21"/>
    <mergeCell ref="L6:L8"/>
    <mergeCell ref="L10:L11"/>
    <mergeCell ref="L12:L13"/>
    <mergeCell ref="L14:L15"/>
    <mergeCell ref="L16:L17"/>
    <mergeCell ref="L18:L19"/>
    <mergeCell ref="L20:L21"/>
    <mergeCell ref="M7:M8"/>
    <mergeCell ref="M10:M11"/>
    <mergeCell ref="M12:M13"/>
    <mergeCell ref="M14:M15"/>
    <mergeCell ref="M16:M17"/>
    <mergeCell ref="M18:M19"/>
    <mergeCell ref="M20:M21"/>
    <mergeCell ref="N7:N8"/>
    <mergeCell ref="N10:N11"/>
    <mergeCell ref="N12:N13"/>
    <mergeCell ref="N14:N15"/>
    <mergeCell ref="N16:N17"/>
    <mergeCell ref="N18:N19"/>
    <mergeCell ref="N20:N21"/>
    <mergeCell ref="O7:O8"/>
    <mergeCell ref="O10:O11"/>
    <mergeCell ref="O12:O13"/>
    <mergeCell ref="O14:O15"/>
    <mergeCell ref="O16:O17"/>
    <mergeCell ref="O18:O19"/>
    <mergeCell ref="O20:O21"/>
    <mergeCell ref="P7:P8"/>
    <mergeCell ref="P10:P11"/>
    <mergeCell ref="P12:P13"/>
    <mergeCell ref="P14:P15"/>
    <mergeCell ref="P16:P17"/>
    <mergeCell ref="P18:P19"/>
    <mergeCell ref="P20:P21"/>
    <mergeCell ref="Q7:Q8"/>
    <mergeCell ref="Q10:Q11"/>
    <mergeCell ref="Q12:Q13"/>
    <mergeCell ref="Q14:Q15"/>
    <mergeCell ref="Q16:Q17"/>
    <mergeCell ref="Q18:Q19"/>
    <mergeCell ref="Q20:Q21"/>
    <mergeCell ref="R7:R8"/>
    <mergeCell ref="R10:R11"/>
    <mergeCell ref="R12:R13"/>
    <mergeCell ref="R14:R15"/>
    <mergeCell ref="R16:R17"/>
    <mergeCell ref="R18:R19"/>
    <mergeCell ref="R20:R21"/>
    <mergeCell ref="S6:S8"/>
    <mergeCell ref="T6:T8"/>
    <mergeCell ref="U6:U8"/>
    <mergeCell ref="V6:V8"/>
    <mergeCell ref="V10:V11"/>
    <mergeCell ref="V12:V13"/>
    <mergeCell ref="V14:V15"/>
    <mergeCell ref="V16:V17"/>
    <mergeCell ref="V18:V19"/>
    <mergeCell ref="V20:V21"/>
    <mergeCell ref="W6:W8"/>
    <mergeCell ref="W10:W11"/>
    <mergeCell ref="W12:W13"/>
    <mergeCell ref="W14:W15"/>
    <mergeCell ref="W16:W17"/>
    <mergeCell ref="W18:W19"/>
    <mergeCell ref="W20:W21"/>
    <mergeCell ref="X7:X8"/>
    <mergeCell ref="X10:X11"/>
    <mergeCell ref="X12:X13"/>
    <mergeCell ref="X14:X15"/>
    <mergeCell ref="X16:X17"/>
    <mergeCell ref="X18:X19"/>
    <mergeCell ref="X20:X21"/>
    <mergeCell ref="Y6:Y8"/>
    <mergeCell ref="Y10:Y21"/>
    <mergeCell ref="Z6:Z8"/>
    <mergeCell ref="Z10:Z21"/>
    <mergeCell ref="AA5:AA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0"/>
  <sheetViews>
    <sheetView workbookViewId="0">
      <selection activeCell="A2" sqref="A2:AE2"/>
    </sheetView>
  </sheetViews>
  <sheetFormatPr defaultColWidth="10" defaultRowHeight="14.25"/>
  <cols>
    <col min="1" max="1" width="8.44166666666667" style="1" customWidth="1"/>
    <col min="2" max="2" width="8" style="1" customWidth="1"/>
    <col min="3" max="3" width="12.1083333333333" style="1" customWidth="1"/>
    <col min="4" max="4" width="13.4416666666667" style="1" customWidth="1"/>
    <col min="5" max="5" width="10.6666666666667" style="1" customWidth="1"/>
    <col min="6" max="6" width="11.4416666666667" style="1" customWidth="1"/>
    <col min="7" max="7" width="9.89166666666667" style="1" customWidth="1"/>
    <col min="8" max="8" width="9.33333333333333" style="1" customWidth="1"/>
    <col min="9" max="9" width="4.725" style="1" customWidth="1"/>
    <col min="10" max="10" width="8" style="1" customWidth="1"/>
    <col min="11" max="11" width="7.33333333333333" style="1" customWidth="1"/>
    <col min="12" max="12" width="6.89166666666667" style="1" customWidth="1"/>
    <col min="13" max="13" width="4.30833333333333" style="1" customWidth="1"/>
    <col min="14" max="14" width="5" style="1" customWidth="1"/>
    <col min="15" max="15" width="6" style="1" customWidth="1"/>
    <col min="16" max="16" width="5.55833333333333" style="1" customWidth="1"/>
    <col min="17" max="17" width="8.225" style="1" customWidth="1"/>
    <col min="18" max="18" width="5" style="1" customWidth="1"/>
    <col min="19" max="19" width="5.275" style="1" customWidth="1"/>
    <col min="20" max="20" width="5.14166666666667" style="1" customWidth="1"/>
    <col min="21" max="21" width="6.44166666666667" style="1" customWidth="1"/>
    <col min="22" max="23" width="4.85833333333333" style="1" customWidth="1"/>
    <col min="24" max="24" width="4.725" style="1" customWidth="1"/>
    <col min="25" max="25" width="7.66666666666667" style="1" customWidth="1"/>
    <col min="26" max="26" width="9.225" style="1" customWidth="1"/>
    <col min="27" max="27" width="7.775" style="1" customWidth="1"/>
    <col min="28" max="28" width="7.89166666666667" style="1" customWidth="1"/>
    <col min="29" max="29" width="9.10833333333333" style="1" customWidth="1"/>
    <col min="30" max="30" width="7.55833333333333" style="1" customWidth="1"/>
    <col min="31" max="31" width="4.025" style="1" customWidth="1"/>
    <col min="32" max="32" width="0.416666666666667" style="1" hidden="1" customWidth="1"/>
    <col min="33" max="33" width="0.691666666666667" style="1" customWidth="1"/>
    <col min="34" max="16384" width="10" style="1"/>
  </cols>
  <sheetData>
    <row r="1" s="1" customFormat="1" ht="23.25" customHeight="1" spans="1:1">
      <c r="A1" s="1" t="s">
        <v>97</v>
      </c>
    </row>
    <row r="2" s="1" customFormat="1" ht="25.5" spans="1:31">
      <c r="A2" s="34" t="s">
        <v>98</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row>
    <row r="3" s="1" customFormat="1" ht="9.75" customHeight="1"/>
    <row r="4" s="1" customFormat="1" ht="22.5" customHeight="1" spans="1:31">
      <c r="A4" s="1" t="s">
        <v>2</v>
      </c>
      <c r="Q4" s="1" t="s">
        <v>3</v>
      </c>
      <c r="Z4" s="86" t="s">
        <v>99</v>
      </c>
      <c r="AA4" s="86"/>
      <c r="AB4" s="86"/>
      <c r="AC4" s="86"/>
      <c r="AD4" s="86"/>
      <c r="AE4" s="86"/>
    </row>
    <row r="5" s="1" customFormat="1" ht="29.25" customHeight="1" spans="1:31">
      <c r="A5" s="35" t="s">
        <v>100</v>
      </c>
      <c r="B5" s="36" t="s">
        <v>101</v>
      </c>
      <c r="C5" s="36" t="s">
        <v>102</v>
      </c>
      <c r="D5" s="37" t="s">
        <v>103</v>
      </c>
      <c r="E5" s="38" t="s">
        <v>104</v>
      </c>
      <c r="F5" s="39"/>
      <c r="G5" s="40" t="s">
        <v>105</v>
      </c>
      <c r="H5" s="41"/>
      <c r="I5" s="41"/>
      <c r="J5" s="41"/>
      <c r="K5" s="41"/>
      <c r="L5" s="41"/>
      <c r="M5" s="41"/>
      <c r="N5" s="41"/>
      <c r="O5" s="41"/>
      <c r="P5" s="41"/>
      <c r="Q5" s="41"/>
      <c r="R5" s="40" t="s">
        <v>106</v>
      </c>
      <c r="S5" s="41"/>
      <c r="T5" s="41"/>
      <c r="U5" s="41"/>
      <c r="V5" s="41"/>
      <c r="W5" s="41"/>
      <c r="X5" s="83"/>
      <c r="Y5" s="41" t="s">
        <v>107</v>
      </c>
      <c r="Z5" s="41"/>
      <c r="AA5" s="41"/>
      <c r="AB5" s="41"/>
      <c r="AC5" s="41"/>
      <c r="AD5" s="83"/>
      <c r="AE5" s="87" t="s">
        <v>16</v>
      </c>
    </row>
    <row r="6" s="1" customFormat="1" ht="15.75" customHeight="1" spans="1:31">
      <c r="A6" s="42"/>
      <c r="B6" s="36"/>
      <c r="C6" s="36"/>
      <c r="D6" s="37"/>
      <c r="E6" s="43" t="s">
        <v>108</v>
      </c>
      <c r="F6" s="43" t="s">
        <v>109</v>
      </c>
      <c r="G6" s="44" t="s">
        <v>108</v>
      </c>
      <c r="H6" s="45" t="s">
        <v>109</v>
      </c>
      <c r="I6" s="32"/>
      <c r="J6" s="79"/>
      <c r="K6" s="80"/>
      <c r="L6" s="80"/>
      <c r="M6" s="79"/>
      <c r="N6" s="81"/>
      <c r="O6" s="82" t="s">
        <v>110</v>
      </c>
      <c r="P6" s="80"/>
      <c r="Q6" s="84"/>
      <c r="R6" s="82" t="s">
        <v>111</v>
      </c>
      <c r="S6" s="79"/>
      <c r="T6" s="79"/>
      <c r="U6" s="79"/>
      <c r="V6" s="79"/>
      <c r="W6" s="79"/>
      <c r="X6" s="84"/>
      <c r="Y6" s="88" t="s">
        <v>112</v>
      </c>
      <c r="Z6" s="89"/>
      <c r="AA6" s="88" t="s">
        <v>113</v>
      </c>
      <c r="AB6" s="89"/>
      <c r="AC6" s="88" t="s">
        <v>113</v>
      </c>
      <c r="AD6" s="90"/>
      <c r="AE6" s="91"/>
    </row>
    <row r="7" s="1" customFormat="1" ht="43.5" customHeight="1" spans="1:31">
      <c r="A7" s="46"/>
      <c r="B7" s="36"/>
      <c r="C7" s="36"/>
      <c r="D7" s="37"/>
      <c r="E7" s="47"/>
      <c r="F7" s="47"/>
      <c r="G7" s="47"/>
      <c r="H7" s="48"/>
      <c r="I7" s="54" t="s">
        <v>114</v>
      </c>
      <c r="J7" s="54" t="s">
        <v>115</v>
      </c>
      <c r="K7" s="54" t="s">
        <v>116</v>
      </c>
      <c r="L7" s="54" t="s">
        <v>117</v>
      </c>
      <c r="M7" s="54" t="s">
        <v>118</v>
      </c>
      <c r="N7" s="54" t="s">
        <v>119</v>
      </c>
      <c r="O7" s="47"/>
      <c r="P7" s="54" t="s">
        <v>120</v>
      </c>
      <c r="Q7" s="54" t="s">
        <v>121</v>
      </c>
      <c r="R7" s="47"/>
      <c r="S7" s="54" t="s">
        <v>28</v>
      </c>
      <c r="T7" s="54" t="s">
        <v>29</v>
      </c>
      <c r="U7" s="54" t="s">
        <v>30</v>
      </c>
      <c r="V7" s="54" t="s">
        <v>31</v>
      </c>
      <c r="W7" s="54" t="s">
        <v>32</v>
      </c>
      <c r="X7" s="54" t="s">
        <v>33</v>
      </c>
      <c r="Y7" s="92" t="s">
        <v>122</v>
      </c>
      <c r="Z7" s="92" t="s">
        <v>18</v>
      </c>
      <c r="AA7" s="93" t="s">
        <v>123</v>
      </c>
      <c r="AB7" s="92" t="s">
        <v>18</v>
      </c>
      <c r="AC7" s="92" t="s">
        <v>69</v>
      </c>
      <c r="AD7" s="92" t="s">
        <v>18</v>
      </c>
      <c r="AE7" s="94"/>
    </row>
    <row r="8" s="1" customFormat="1" spans="1:31">
      <c r="A8" s="49" t="s">
        <v>34</v>
      </c>
      <c r="B8" s="50" t="s">
        <v>35</v>
      </c>
      <c r="C8" s="51" t="s">
        <v>36</v>
      </c>
      <c r="D8" s="51" t="s">
        <v>37</v>
      </c>
      <c r="E8" s="51" t="s">
        <v>38</v>
      </c>
      <c r="F8" s="51" t="s">
        <v>39</v>
      </c>
      <c r="G8" s="51" t="s">
        <v>40</v>
      </c>
      <c r="H8" s="51" t="s">
        <v>41</v>
      </c>
      <c r="I8" s="51" t="s">
        <v>42</v>
      </c>
      <c r="J8" s="51" t="s">
        <v>43</v>
      </c>
      <c r="K8" s="51" t="s">
        <v>44</v>
      </c>
      <c r="L8" s="51" t="s">
        <v>45</v>
      </c>
      <c r="M8" s="51" t="s">
        <v>46</v>
      </c>
      <c r="N8" s="51" t="s">
        <v>47</v>
      </c>
      <c r="O8" s="51" t="s">
        <v>48</v>
      </c>
      <c r="P8" s="51" t="s">
        <v>49</v>
      </c>
      <c r="Q8" s="51" t="s">
        <v>50</v>
      </c>
      <c r="R8" s="51" t="s">
        <v>51</v>
      </c>
      <c r="S8" s="51" t="s">
        <v>52</v>
      </c>
      <c r="T8" s="51" t="s">
        <v>53</v>
      </c>
      <c r="U8" s="51" t="s">
        <v>54</v>
      </c>
      <c r="V8" s="51" t="s">
        <v>55</v>
      </c>
      <c r="W8" s="51" t="s">
        <v>56</v>
      </c>
      <c r="X8" s="51" t="s">
        <v>57</v>
      </c>
      <c r="Y8" s="51" t="s">
        <v>58</v>
      </c>
      <c r="Z8" s="51" t="s">
        <v>59</v>
      </c>
      <c r="AA8" s="95" t="s">
        <v>60</v>
      </c>
      <c r="AB8" s="51" t="s">
        <v>124</v>
      </c>
      <c r="AC8" s="51" t="s">
        <v>125</v>
      </c>
      <c r="AD8" s="51" t="s">
        <v>126</v>
      </c>
      <c r="AE8" s="51" t="s">
        <v>127</v>
      </c>
    </row>
    <row r="9" s="2" customFormat="1" ht="32.25" customHeight="1" spans="1:31">
      <c r="A9" s="52" t="s">
        <v>61</v>
      </c>
      <c r="B9" s="53" t="s">
        <v>128</v>
      </c>
      <c r="C9" s="54" t="s">
        <v>129</v>
      </c>
      <c r="D9" s="55" t="s">
        <v>130</v>
      </c>
      <c r="E9" s="56">
        <v>40.8</v>
      </c>
      <c r="F9" s="56">
        <v>34</v>
      </c>
      <c r="G9" s="57">
        <f t="shared" ref="G9:G23" si="0">H9+N9</f>
        <v>39.290323968</v>
      </c>
      <c r="H9" s="57">
        <f t="shared" ref="H9:H23" si="1">J9+K9+M9</f>
        <v>32.74193664</v>
      </c>
      <c r="I9" s="56">
        <v>12</v>
      </c>
      <c r="J9" s="57">
        <f>105266*2/10000</f>
        <v>21.0532</v>
      </c>
      <c r="K9" s="57">
        <f t="shared" ref="K9:K23" si="2">J9*L9*O9</f>
        <v>11.68873664</v>
      </c>
      <c r="L9" s="56">
        <v>0.8</v>
      </c>
      <c r="M9" s="56">
        <v>0</v>
      </c>
      <c r="N9" s="57">
        <f t="shared" ref="N9:N17" si="3">(J9+K9)*0.2</f>
        <v>6.548387328</v>
      </c>
      <c r="O9" s="56">
        <v>0.694</v>
      </c>
      <c r="P9" s="56" t="s">
        <v>131</v>
      </c>
      <c r="Q9" s="56" t="s">
        <v>132</v>
      </c>
      <c r="R9" s="56">
        <f t="shared" ref="R9:R23" si="4">S9+T9+U9+V9+W9+X9</f>
        <v>11.53</v>
      </c>
      <c r="S9" s="56">
        <v>3.52</v>
      </c>
      <c r="T9" s="56">
        <v>1.94</v>
      </c>
      <c r="U9" s="56">
        <v>2.53</v>
      </c>
      <c r="V9" s="56">
        <v>0</v>
      </c>
      <c r="W9" s="56">
        <v>3.54</v>
      </c>
      <c r="X9" s="56">
        <v>0</v>
      </c>
      <c r="Y9" s="56">
        <v>-989.98</v>
      </c>
      <c r="Z9" s="96">
        <f t="shared" ref="Z9:Z13" si="5">(Y9-26.27)/26.27</f>
        <v>-38.6848115721355</v>
      </c>
      <c r="AA9" s="56">
        <v>72962</v>
      </c>
      <c r="AB9" s="96">
        <f t="shared" ref="AB9:AB13" si="6">(AA9-64751.5)/64751.5</f>
        <v>0.126800151347845</v>
      </c>
      <c r="AC9" s="56">
        <v>15985.23</v>
      </c>
      <c r="AD9" s="96">
        <f t="shared" ref="AD9:AD13" si="7">(AC9-15777.57)/15777.57</f>
        <v>0.0131617226226852</v>
      </c>
      <c r="AE9" s="97"/>
    </row>
    <row r="10" s="2" customFormat="1" ht="32.25" customHeight="1" spans="1:31">
      <c r="A10" s="58"/>
      <c r="B10" s="53" t="s">
        <v>133</v>
      </c>
      <c r="C10" s="59" t="s">
        <v>134</v>
      </c>
      <c r="D10" s="55" t="s">
        <v>130</v>
      </c>
      <c r="E10" s="56">
        <v>29.09</v>
      </c>
      <c r="F10" s="56">
        <v>24.24</v>
      </c>
      <c r="G10" s="57">
        <f t="shared" si="0"/>
        <v>29.770909056</v>
      </c>
      <c r="H10" s="57">
        <f t="shared" si="1"/>
        <v>24.80909088</v>
      </c>
      <c r="I10" s="56">
        <v>12</v>
      </c>
      <c r="J10" s="57">
        <f t="shared" ref="J10:J13" si="8">$J$9*0.75</f>
        <v>15.7899</v>
      </c>
      <c r="K10" s="57">
        <f t="shared" si="2"/>
        <v>9.01919088</v>
      </c>
      <c r="L10" s="56">
        <v>0.8</v>
      </c>
      <c r="M10" s="56">
        <v>0</v>
      </c>
      <c r="N10" s="57">
        <f t="shared" si="3"/>
        <v>4.961818176</v>
      </c>
      <c r="O10" s="56">
        <v>0.714</v>
      </c>
      <c r="P10" s="56" t="s">
        <v>131</v>
      </c>
      <c r="Q10" s="56" t="s">
        <v>135</v>
      </c>
      <c r="R10" s="56">
        <f t="shared" si="4"/>
        <v>10.19</v>
      </c>
      <c r="S10" s="56">
        <v>3.52</v>
      </c>
      <c r="T10" s="56">
        <v>1.94</v>
      </c>
      <c r="U10" s="56">
        <v>1.89</v>
      </c>
      <c r="V10" s="56">
        <v>0</v>
      </c>
      <c r="W10" s="56">
        <v>2.84</v>
      </c>
      <c r="X10" s="56">
        <v>0</v>
      </c>
      <c r="Y10" s="56">
        <v>-989.98</v>
      </c>
      <c r="Z10" s="96">
        <f t="shared" si="5"/>
        <v>-38.6848115721355</v>
      </c>
      <c r="AA10" s="56">
        <v>72962</v>
      </c>
      <c r="AB10" s="96">
        <f t="shared" si="6"/>
        <v>0.126800151347845</v>
      </c>
      <c r="AC10" s="56">
        <v>15985.23</v>
      </c>
      <c r="AD10" s="96">
        <f t="shared" si="7"/>
        <v>0.0131617226226852</v>
      </c>
      <c r="AE10" s="97"/>
    </row>
    <row r="11" s="2" customFormat="1" ht="32.25" customHeight="1" spans="1:31">
      <c r="A11" s="58"/>
      <c r="B11" s="53" t="s">
        <v>136</v>
      </c>
      <c r="C11" s="59" t="s">
        <v>134</v>
      </c>
      <c r="D11" s="55" t="s">
        <v>130</v>
      </c>
      <c r="E11" s="56">
        <v>30.68</v>
      </c>
      <c r="F11" s="56">
        <v>25.57</v>
      </c>
      <c r="G11" s="57">
        <f t="shared" si="0"/>
        <v>29.892175488</v>
      </c>
      <c r="H11" s="57">
        <f t="shared" si="1"/>
        <v>24.91014624</v>
      </c>
      <c r="I11" s="56">
        <v>12</v>
      </c>
      <c r="J11" s="57">
        <f t="shared" si="8"/>
        <v>15.7899</v>
      </c>
      <c r="K11" s="57">
        <f t="shared" si="2"/>
        <v>9.12024624</v>
      </c>
      <c r="L11" s="56">
        <v>0.8</v>
      </c>
      <c r="M11" s="56">
        <v>0</v>
      </c>
      <c r="N11" s="57">
        <f t="shared" si="3"/>
        <v>4.982029248</v>
      </c>
      <c r="O11" s="56">
        <v>0.722</v>
      </c>
      <c r="P11" s="56" t="s">
        <v>131</v>
      </c>
      <c r="Q11" s="56" t="s">
        <v>137</v>
      </c>
      <c r="R11" s="56">
        <f t="shared" si="4"/>
        <v>10.19</v>
      </c>
      <c r="S11" s="56">
        <v>3.52</v>
      </c>
      <c r="T11" s="56">
        <v>1.94</v>
      </c>
      <c r="U11" s="56">
        <v>1.89</v>
      </c>
      <c r="V11" s="56">
        <v>0</v>
      </c>
      <c r="W11" s="56">
        <v>2.84</v>
      </c>
      <c r="X11" s="56">
        <v>0</v>
      </c>
      <c r="Y11" s="56">
        <v>-989.98</v>
      </c>
      <c r="Z11" s="96">
        <f t="shared" si="5"/>
        <v>-38.6848115721355</v>
      </c>
      <c r="AA11" s="56">
        <v>72962</v>
      </c>
      <c r="AB11" s="96">
        <f t="shared" si="6"/>
        <v>0.126800151347845</v>
      </c>
      <c r="AC11" s="56">
        <v>15985.23</v>
      </c>
      <c r="AD11" s="96">
        <f t="shared" si="7"/>
        <v>0.0131617226226852</v>
      </c>
      <c r="AE11" s="97"/>
    </row>
    <row r="12" s="2" customFormat="1" ht="32.25" customHeight="1" spans="1:31">
      <c r="A12" s="58"/>
      <c r="B12" s="53" t="s">
        <v>138</v>
      </c>
      <c r="C12" s="59" t="s">
        <v>139</v>
      </c>
      <c r="D12" s="60" t="s">
        <v>140</v>
      </c>
      <c r="E12" s="56">
        <v>29.41</v>
      </c>
      <c r="F12" s="56">
        <v>24.51</v>
      </c>
      <c r="G12" s="57">
        <f t="shared" si="0"/>
        <v>27.982229184</v>
      </c>
      <c r="H12" s="57">
        <f t="shared" si="1"/>
        <v>23.31852432</v>
      </c>
      <c r="I12" s="56">
        <v>12</v>
      </c>
      <c r="J12" s="57">
        <f t="shared" si="8"/>
        <v>15.7899</v>
      </c>
      <c r="K12" s="57">
        <f t="shared" si="2"/>
        <v>7.52862432</v>
      </c>
      <c r="L12" s="56">
        <v>0.8</v>
      </c>
      <c r="M12" s="56">
        <v>0</v>
      </c>
      <c r="N12" s="57">
        <f t="shared" si="3"/>
        <v>4.663704864</v>
      </c>
      <c r="O12" s="56">
        <v>0.596</v>
      </c>
      <c r="P12" s="56" t="s">
        <v>131</v>
      </c>
      <c r="Q12" s="56" t="s">
        <v>141</v>
      </c>
      <c r="R12" s="56">
        <f t="shared" si="4"/>
        <v>10.19</v>
      </c>
      <c r="S12" s="56">
        <v>3.52</v>
      </c>
      <c r="T12" s="56">
        <v>1.94</v>
      </c>
      <c r="U12" s="56">
        <v>1.89</v>
      </c>
      <c r="V12" s="56">
        <v>0</v>
      </c>
      <c r="W12" s="56">
        <v>2.84</v>
      </c>
      <c r="X12" s="56">
        <v>0</v>
      </c>
      <c r="Y12" s="56">
        <v>-989.98</v>
      </c>
      <c r="Z12" s="96">
        <f t="shared" si="5"/>
        <v>-38.6848115721355</v>
      </c>
      <c r="AA12" s="56">
        <v>72962</v>
      </c>
      <c r="AB12" s="96">
        <f t="shared" si="6"/>
        <v>0.126800151347845</v>
      </c>
      <c r="AC12" s="56">
        <v>15985.23</v>
      </c>
      <c r="AD12" s="96">
        <f t="shared" si="7"/>
        <v>0.0131617226226852</v>
      </c>
      <c r="AE12" s="97"/>
    </row>
    <row r="13" s="2" customFormat="1" ht="32.25" customHeight="1" spans="1:31">
      <c r="A13" s="58"/>
      <c r="B13" s="61" t="s">
        <v>142</v>
      </c>
      <c r="C13" s="62" t="s">
        <v>143</v>
      </c>
      <c r="D13" s="60" t="s">
        <v>140</v>
      </c>
      <c r="E13" s="56">
        <v>29.16</v>
      </c>
      <c r="F13" s="56">
        <v>24.3</v>
      </c>
      <c r="G13" s="57">
        <f t="shared" si="0"/>
        <v>29.058468768</v>
      </c>
      <c r="H13" s="57">
        <f t="shared" si="1"/>
        <v>24.21539064</v>
      </c>
      <c r="I13" s="64">
        <v>12</v>
      </c>
      <c r="J13" s="57">
        <f t="shared" si="8"/>
        <v>15.7899</v>
      </c>
      <c r="K13" s="66">
        <f t="shared" si="2"/>
        <v>8.42549064</v>
      </c>
      <c r="L13" s="64">
        <v>0.8</v>
      </c>
      <c r="M13" s="64">
        <v>0</v>
      </c>
      <c r="N13" s="57">
        <f t="shared" si="3"/>
        <v>4.843078128</v>
      </c>
      <c r="O13" s="64">
        <v>0.667</v>
      </c>
      <c r="P13" s="64" t="s">
        <v>131</v>
      </c>
      <c r="Q13" s="64" t="s">
        <v>144</v>
      </c>
      <c r="R13" s="56">
        <f t="shared" si="4"/>
        <v>10.19</v>
      </c>
      <c r="S13" s="64">
        <v>3.52</v>
      </c>
      <c r="T13" s="64">
        <v>1.94</v>
      </c>
      <c r="U13" s="64">
        <v>1.89</v>
      </c>
      <c r="V13" s="64">
        <v>0</v>
      </c>
      <c r="W13" s="64">
        <v>2.84</v>
      </c>
      <c r="X13" s="64">
        <v>0</v>
      </c>
      <c r="Y13" s="64">
        <v>-989.98</v>
      </c>
      <c r="Z13" s="98">
        <f t="shared" si="5"/>
        <v>-38.6848115721355</v>
      </c>
      <c r="AA13" s="64">
        <v>72962</v>
      </c>
      <c r="AB13" s="98">
        <f t="shared" si="6"/>
        <v>0.126800151347845</v>
      </c>
      <c r="AC13" s="56">
        <v>15985.23</v>
      </c>
      <c r="AD13" s="98">
        <f t="shared" si="7"/>
        <v>0.0131617226226852</v>
      </c>
      <c r="AE13" s="99"/>
    </row>
    <row r="14" s="2" customFormat="1" ht="33" customHeight="1" spans="1:31">
      <c r="A14" s="52" t="s">
        <v>71</v>
      </c>
      <c r="B14" s="56" t="s">
        <v>145</v>
      </c>
      <c r="C14" s="56" t="s">
        <v>146</v>
      </c>
      <c r="D14" s="55" t="s">
        <v>130</v>
      </c>
      <c r="E14" s="57">
        <v>22.3478513335896</v>
      </c>
      <c r="F14" s="63">
        <v>18.62</v>
      </c>
      <c r="G14" s="57">
        <f t="shared" si="0"/>
        <v>22.990619887872</v>
      </c>
      <c r="H14" s="57">
        <f t="shared" si="1"/>
        <v>19.15884990656</v>
      </c>
      <c r="I14" s="56">
        <v>12</v>
      </c>
      <c r="J14" s="57">
        <f>$J$9*0.65</f>
        <v>13.68458</v>
      </c>
      <c r="K14" s="66">
        <f t="shared" si="2"/>
        <v>5.47426990656</v>
      </c>
      <c r="L14" s="57">
        <v>0.463</v>
      </c>
      <c r="M14" s="56">
        <v>0</v>
      </c>
      <c r="N14" s="57">
        <f t="shared" si="3"/>
        <v>3.831769981312</v>
      </c>
      <c r="O14" s="56">
        <v>0.864</v>
      </c>
      <c r="P14" s="56" t="s">
        <v>147</v>
      </c>
      <c r="Q14" s="56">
        <v>94.55</v>
      </c>
      <c r="R14" s="56">
        <f t="shared" si="4"/>
        <v>8.76</v>
      </c>
      <c r="S14" s="56">
        <v>3.13</v>
      </c>
      <c r="T14" s="56">
        <v>1.72</v>
      </c>
      <c r="U14" s="56">
        <v>1.56</v>
      </c>
      <c r="V14" s="56">
        <v>0</v>
      </c>
      <c r="W14" s="56">
        <v>2.35</v>
      </c>
      <c r="X14" s="56">
        <v>0</v>
      </c>
      <c r="Y14" s="56">
        <v>440.33</v>
      </c>
      <c r="Z14" s="96">
        <f>(440.33-363.38)/363.38</f>
        <v>0.211761792063405</v>
      </c>
      <c r="AA14" s="56">
        <v>24255.98</v>
      </c>
      <c r="AB14" s="96">
        <f>(24255.98-18968.9)/18968.9</f>
        <v>0.278723594936976</v>
      </c>
      <c r="AC14" s="56">
        <v>3052.12</v>
      </c>
      <c r="AD14" s="96">
        <f>(3052.12-2706.17)/2706.17</f>
        <v>0.127837497274746</v>
      </c>
      <c r="AE14" s="56"/>
    </row>
    <row r="15" s="2" customFormat="1" ht="33" customHeight="1" spans="1:31">
      <c r="A15" s="58"/>
      <c r="B15" s="64" t="s">
        <v>148</v>
      </c>
      <c r="C15" s="64" t="s">
        <v>149</v>
      </c>
      <c r="D15" s="65">
        <v>43862</v>
      </c>
      <c r="E15" s="66">
        <v>17.190654871992</v>
      </c>
      <c r="F15" s="63">
        <v>14.33</v>
      </c>
      <c r="G15" s="57">
        <f t="shared" si="0"/>
        <v>17.68509222144</v>
      </c>
      <c r="H15" s="57">
        <f t="shared" si="1"/>
        <v>14.7375768512</v>
      </c>
      <c r="I15" s="64">
        <v>12</v>
      </c>
      <c r="J15" s="57">
        <f t="shared" ref="J15:J20" si="9">$J$9*0.5</f>
        <v>10.5266</v>
      </c>
      <c r="K15" s="66">
        <f t="shared" si="2"/>
        <v>4.2109768512</v>
      </c>
      <c r="L15" s="66">
        <v>0.463</v>
      </c>
      <c r="M15" s="64">
        <v>0</v>
      </c>
      <c r="N15" s="57">
        <f t="shared" si="3"/>
        <v>2.94751537024</v>
      </c>
      <c r="O15" s="64">
        <v>0.864</v>
      </c>
      <c r="P15" s="64" t="s">
        <v>147</v>
      </c>
      <c r="Q15" s="64">
        <v>94.55</v>
      </c>
      <c r="R15" s="56">
        <f t="shared" si="4"/>
        <v>6.73</v>
      </c>
      <c r="S15" s="64">
        <v>2.41</v>
      </c>
      <c r="T15" s="64">
        <v>1.32</v>
      </c>
      <c r="U15" s="64">
        <v>1.2</v>
      </c>
      <c r="V15" s="64">
        <v>0</v>
      </c>
      <c r="W15" s="64">
        <v>1.8</v>
      </c>
      <c r="X15" s="64">
        <v>0</v>
      </c>
      <c r="Y15" s="64">
        <v>440.33</v>
      </c>
      <c r="Z15" s="98">
        <f>(440.33-363.38)/363.38</f>
        <v>0.211761792063405</v>
      </c>
      <c r="AA15" s="64">
        <v>24255.98</v>
      </c>
      <c r="AB15" s="98">
        <f>(24255.98-18968.9)/18968.9</f>
        <v>0.278723594936976</v>
      </c>
      <c r="AC15" s="64">
        <v>3052.12</v>
      </c>
      <c r="AD15" s="98">
        <f>(3052.12-2706.17)/2706.17</f>
        <v>0.127837497274746</v>
      </c>
      <c r="AE15" s="64"/>
    </row>
    <row r="16" s="32" customFormat="1" ht="33" customHeight="1" spans="1:31">
      <c r="A16" s="67" t="s">
        <v>75</v>
      </c>
      <c r="B16" s="56" t="s">
        <v>150</v>
      </c>
      <c r="C16" s="56" t="s">
        <v>146</v>
      </c>
      <c r="D16" s="68">
        <v>43647</v>
      </c>
      <c r="E16" s="69">
        <v>22.38754865802</v>
      </c>
      <c r="F16" s="69">
        <v>18.65629054835</v>
      </c>
      <c r="G16" s="57">
        <f t="shared" si="0"/>
        <v>21.5591662923</v>
      </c>
      <c r="H16" s="57">
        <f t="shared" si="1"/>
        <v>17.96597191025</v>
      </c>
      <c r="I16" s="56">
        <v>12</v>
      </c>
      <c r="J16" s="57">
        <f>$J$9*0.65</f>
        <v>13.68458</v>
      </c>
      <c r="K16" s="66">
        <f t="shared" si="2"/>
        <v>4.28139191025</v>
      </c>
      <c r="L16" s="57">
        <v>0.45</v>
      </c>
      <c r="M16" s="56">
        <v>0</v>
      </c>
      <c r="N16" s="57">
        <f t="shared" si="3"/>
        <v>3.59319438205</v>
      </c>
      <c r="O16" s="56">
        <v>0.69525</v>
      </c>
      <c r="P16" s="64" t="s">
        <v>131</v>
      </c>
      <c r="Q16" s="56">
        <v>87.81</v>
      </c>
      <c r="R16" s="56">
        <f t="shared" si="4"/>
        <v>9.13</v>
      </c>
      <c r="S16" s="56">
        <v>3.2</v>
      </c>
      <c r="T16" s="56">
        <v>1.83</v>
      </c>
      <c r="U16" s="56">
        <v>1.6</v>
      </c>
      <c r="V16" s="56">
        <v>0</v>
      </c>
      <c r="W16" s="56">
        <v>2.4</v>
      </c>
      <c r="X16" s="56">
        <v>0.1</v>
      </c>
      <c r="Y16" s="56">
        <v>-982.11</v>
      </c>
      <c r="Z16" s="100">
        <f>(Y16-22.86)/22.86</f>
        <v>-43.9619422572178</v>
      </c>
      <c r="AA16" s="101">
        <v>16208.48</v>
      </c>
      <c r="AB16" s="100">
        <f>(AA16-10246.63)/10246.63</f>
        <v>0.581835198499409</v>
      </c>
      <c r="AC16" s="56">
        <v>8908.31</v>
      </c>
      <c r="AD16" s="100">
        <f>(AC16-10199.86)/10199.86</f>
        <v>-0.126624287000018</v>
      </c>
      <c r="AE16" s="102"/>
    </row>
    <row r="17" s="32" customFormat="1" ht="33" customHeight="1" spans="1:31">
      <c r="A17" s="67"/>
      <c r="B17" s="56" t="s">
        <v>151</v>
      </c>
      <c r="C17" s="56" t="s">
        <v>149</v>
      </c>
      <c r="D17" s="68">
        <v>43862</v>
      </c>
      <c r="E17" s="69">
        <v>17.2211912754</v>
      </c>
      <c r="F17" s="69">
        <v>14.3509927295</v>
      </c>
      <c r="G17" s="57">
        <f t="shared" si="0"/>
        <v>16.583974071</v>
      </c>
      <c r="H17" s="57">
        <f t="shared" si="1"/>
        <v>13.8199783925</v>
      </c>
      <c r="I17" s="56">
        <v>12</v>
      </c>
      <c r="J17" s="57">
        <f t="shared" si="9"/>
        <v>10.5266</v>
      </c>
      <c r="K17" s="66">
        <f t="shared" si="2"/>
        <v>3.2933783925</v>
      </c>
      <c r="L17" s="56">
        <v>0.45</v>
      </c>
      <c r="M17" s="56">
        <v>0</v>
      </c>
      <c r="N17" s="57">
        <f t="shared" si="3"/>
        <v>2.7639956785</v>
      </c>
      <c r="O17" s="56">
        <v>0.69525</v>
      </c>
      <c r="P17" s="64" t="s">
        <v>131</v>
      </c>
      <c r="Q17" s="56">
        <v>87.81</v>
      </c>
      <c r="R17" s="56">
        <f t="shared" si="4"/>
        <v>7.03</v>
      </c>
      <c r="S17" s="56">
        <v>2.46</v>
      </c>
      <c r="T17" s="56">
        <v>1.42</v>
      </c>
      <c r="U17" s="56">
        <v>1.23</v>
      </c>
      <c r="V17" s="56">
        <v>0</v>
      </c>
      <c r="W17" s="56">
        <v>1.84</v>
      </c>
      <c r="X17" s="56">
        <v>0.08</v>
      </c>
      <c r="Y17" s="56">
        <v>-982.11</v>
      </c>
      <c r="Z17" s="100">
        <f>(Y17-22.86)/22.86</f>
        <v>-43.9619422572178</v>
      </c>
      <c r="AA17" s="101">
        <v>16208.48</v>
      </c>
      <c r="AB17" s="100">
        <f>(AA17-10246.63)/10246.63</f>
        <v>0.581835198499409</v>
      </c>
      <c r="AC17" s="56">
        <v>8908.31</v>
      </c>
      <c r="AD17" s="100">
        <f>(AC17-10199.86)/10199.86</f>
        <v>-0.126624287000018</v>
      </c>
      <c r="AE17" s="102"/>
    </row>
    <row r="18" s="32" customFormat="1" ht="35" customHeight="1" spans="1:31">
      <c r="A18" s="67" t="s">
        <v>77</v>
      </c>
      <c r="B18" s="56" t="s">
        <v>152</v>
      </c>
      <c r="C18" s="56" t="s">
        <v>146</v>
      </c>
      <c r="D18" s="68">
        <v>42979</v>
      </c>
      <c r="E18" s="56">
        <v>6.98</v>
      </c>
      <c r="F18" s="56">
        <v>6.98</v>
      </c>
      <c r="G18" s="57">
        <f t="shared" si="0"/>
        <v>6.98</v>
      </c>
      <c r="H18" s="57">
        <f t="shared" si="1"/>
        <v>6.98</v>
      </c>
      <c r="I18" s="56">
        <v>12</v>
      </c>
      <c r="J18" s="57">
        <v>6.98</v>
      </c>
      <c r="K18" s="66">
        <f t="shared" si="2"/>
        <v>0</v>
      </c>
      <c r="L18" s="56">
        <v>0</v>
      </c>
      <c r="M18" s="56">
        <v>0</v>
      </c>
      <c r="N18" s="57">
        <v>0</v>
      </c>
      <c r="O18" s="56">
        <v>0</v>
      </c>
      <c r="P18" s="56"/>
      <c r="Q18" s="56"/>
      <c r="R18" s="56">
        <f t="shared" si="4"/>
        <v>1.4</v>
      </c>
      <c r="S18" s="56">
        <v>0.9</v>
      </c>
      <c r="T18" s="56">
        <v>0.5</v>
      </c>
      <c r="U18" s="56">
        <v>0</v>
      </c>
      <c r="V18" s="56">
        <v>0</v>
      </c>
      <c r="W18" s="56">
        <v>0</v>
      </c>
      <c r="X18" s="56">
        <v>0</v>
      </c>
      <c r="Y18" s="56">
        <v>-73.4</v>
      </c>
      <c r="Z18" s="96">
        <f>(Y18-(-119.49))/-119.49</f>
        <v>-0.385722654615449</v>
      </c>
      <c r="AA18" s="56">
        <v>714.05</v>
      </c>
      <c r="AB18" s="96">
        <f>(AA18-683.98)/683.98</f>
        <v>0.043963273779935</v>
      </c>
      <c r="AC18" s="36">
        <v>34.68</v>
      </c>
      <c r="AD18" s="103">
        <f>(34.68-43.73)/43.73</f>
        <v>-0.206951749371141</v>
      </c>
      <c r="AE18" s="104"/>
    </row>
    <row r="19" s="33" customFormat="1" ht="32.25" customHeight="1" spans="1:31">
      <c r="A19" s="44" t="s">
        <v>79</v>
      </c>
      <c r="B19" s="56" t="s">
        <v>153</v>
      </c>
      <c r="C19" s="56" t="s">
        <v>149</v>
      </c>
      <c r="D19" s="55" t="s">
        <v>130</v>
      </c>
      <c r="E19" s="57">
        <v>18.67</v>
      </c>
      <c r="F19" s="56">
        <v>15.56</v>
      </c>
      <c r="G19" s="57">
        <f t="shared" si="0"/>
        <v>15.54769556592</v>
      </c>
      <c r="H19" s="57">
        <f t="shared" si="1"/>
        <v>12.9564129716</v>
      </c>
      <c r="I19" s="56">
        <v>12</v>
      </c>
      <c r="J19" s="57">
        <f t="shared" si="9"/>
        <v>10.5266</v>
      </c>
      <c r="K19" s="66">
        <f t="shared" si="2"/>
        <v>2.4298129716</v>
      </c>
      <c r="L19" s="57">
        <v>0.438</v>
      </c>
      <c r="M19" s="56">
        <v>0</v>
      </c>
      <c r="N19" s="57">
        <f t="shared" ref="N19:N23" si="10">(J19+K19)*0.2</f>
        <v>2.59128259432</v>
      </c>
      <c r="O19" s="56">
        <v>0.527</v>
      </c>
      <c r="P19" s="56" t="s">
        <v>131</v>
      </c>
      <c r="Q19" s="56" t="s">
        <v>154</v>
      </c>
      <c r="R19" s="56">
        <f t="shared" si="4"/>
        <v>6.778104</v>
      </c>
      <c r="S19" s="57">
        <f>(2017.28*12)/10000</f>
        <v>2.420736</v>
      </c>
      <c r="T19" s="57">
        <f>(1109.5*12)/10000</f>
        <v>1.3314</v>
      </c>
      <c r="U19" s="57">
        <f>(1008.64*12)/10000</f>
        <v>1.210368</v>
      </c>
      <c r="V19" s="57">
        <v>0</v>
      </c>
      <c r="W19" s="57">
        <f>(1513*12)/10000</f>
        <v>1.8156</v>
      </c>
      <c r="X19" s="57">
        <v>0</v>
      </c>
      <c r="Y19" s="56">
        <v>-188.43</v>
      </c>
      <c r="Z19" s="100">
        <f>(Y19-209.87)/209.87</f>
        <v>-1.89784152094154</v>
      </c>
      <c r="AA19" s="56">
        <v>4290.87</v>
      </c>
      <c r="AB19" s="100">
        <f>(AA19-2901.94)/2901.94</f>
        <v>0.478621198232906</v>
      </c>
      <c r="AC19" s="56">
        <v>3530.34</v>
      </c>
      <c r="AD19" s="100">
        <f>(AC19-3407.68)/3407.68</f>
        <v>0.0359951638651518</v>
      </c>
      <c r="AE19" s="56"/>
    </row>
    <row r="20" s="33" customFormat="1" ht="32.25" customHeight="1" spans="1:31">
      <c r="A20" s="43"/>
      <c r="B20" s="56" t="s">
        <v>155</v>
      </c>
      <c r="C20" s="56" t="s">
        <v>149</v>
      </c>
      <c r="D20" s="55" t="s">
        <v>130</v>
      </c>
      <c r="E20" s="57">
        <v>18.67</v>
      </c>
      <c r="F20" s="56">
        <v>15.56</v>
      </c>
      <c r="G20" s="57">
        <f t="shared" si="0"/>
        <v>15.54769556592</v>
      </c>
      <c r="H20" s="57">
        <f t="shared" si="1"/>
        <v>12.9564129716</v>
      </c>
      <c r="I20" s="56">
        <v>12</v>
      </c>
      <c r="J20" s="57">
        <f t="shared" si="9"/>
        <v>10.5266</v>
      </c>
      <c r="K20" s="66">
        <f t="shared" si="2"/>
        <v>2.4298129716</v>
      </c>
      <c r="L20" s="57">
        <v>0.438</v>
      </c>
      <c r="M20" s="56">
        <v>0</v>
      </c>
      <c r="N20" s="57">
        <f t="shared" si="10"/>
        <v>2.59128259432</v>
      </c>
      <c r="O20" s="56">
        <v>0.527</v>
      </c>
      <c r="P20" s="56" t="s">
        <v>131</v>
      </c>
      <c r="Q20" s="56" t="s">
        <v>154</v>
      </c>
      <c r="R20" s="56">
        <f t="shared" si="4"/>
        <v>6.778104</v>
      </c>
      <c r="S20" s="57">
        <f>(2017.28*12)/10000</f>
        <v>2.420736</v>
      </c>
      <c r="T20" s="57">
        <f>(1109.5*12)/10000</f>
        <v>1.3314</v>
      </c>
      <c r="U20" s="57">
        <f>(1008.64*12)/10000</f>
        <v>1.210368</v>
      </c>
      <c r="V20" s="57">
        <v>0</v>
      </c>
      <c r="W20" s="57">
        <f>(1513*12)/10000</f>
        <v>1.8156</v>
      </c>
      <c r="X20" s="57">
        <v>0</v>
      </c>
      <c r="Y20" s="56">
        <v>-188.43</v>
      </c>
      <c r="Z20" s="100">
        <f>(Y20-209.87)/209.87</f>
        <v>-1.89784152094154</v>
      </c>
      <c r="AA20" s="56">
        <v>4290.87</v>
      </c>
      <c r="AB20" s="100">
        <f>(AA20-2901.94)/2901.94</f>
        <v>0.478621198232906</v>
      </c>
      <c r="AC20" s="56">
        <v>3530.34</v>
      </c>
      <c r="AD20" s="100">
        <f>(AC20-3407.68)/3407.68</f>
        <v>0.0359951638651518</v>
      </c>
      <c r="AE20" s="56"/>
    </row>
    <row r="21" s="2" customFormat="1" ht="32.25" customHeight="1" spans="1:31">
      <c r="A21" s="54" t="s">
        <v>81</v>
      </c>
      <c r="B21" s="56" t="s">
        <v>156</v>
      </c>
      <c r="C21" s="54" t="s">
        <v>146</v>
      </c>
      <c r="D21" s="55" t="s">
        <v>130</v>
      </c>
      <c r="E21" s="57">
        <v>24.008513</v>
      </c>
      <c r="F21" s="57">
        <v>18.47</v>
      </c>
      <c r="G21" s="57">
        <f t="shared" si="0"/>
        <v>27.0954684</v>
      </c>
      <c r="H21" s="57">
        <f t="shared" si="1"/>
        <v>22.579557</v>
      </c>
      <c r="I21" s="56">
        <v>12</v>
      </c>
      <c r="J21" s="57">
        <f>$J$9*0.65</f>
        <v>13.68458</v>
      </c>
      <c r="K21" s="66">
        <f t="shared" si="2"/>
        <v>8.894977</v>
      </c>
      <c r="L21" s="56">
        <v>0.65</v>
      </c>
      <c r="M21" s="56">
        <v>0</v>
      </c>
      <c r="N21" s="57">
        <f t="shared" si="10"/>
        <v>4.5159114</v>
      </c>
      <c r="O21" s="56">
        <v>1</v>
      </c>
      <c r="P21" s="56" t="s">
        <v>147</v>
      </c>
      <c r="Q21" s="85" t="s">
        <v>157</v>
      </c>
      <c r="R21" s="56">
        <f t="shared" si="4"/>
        <v>8</v>
      </c>
      <c r="S21" s="56">
        <v>2.86</v>
      </c>
      <c r="T21" s="56">
        <v>1.57</v>
      </c>
      <c r="U21" s="56">
        <v>1.43</v>
      </c>
      <c r="V21" s="56">
        <v>0</v>
      </c>
      <c r="W21" s="56">
        <v>2.14</v>
      </c>
      <c r="X21" s="56">
        <v>0</v>
      </c>
      <c r="Y21" s="56">
        <v>64.1</v>
      </c>
      <c r="Z21" s="96">
        <f t="shared" ref="Z21:Z23" si="11">(Y21-3.71)/3.71</f>
        <v>16.277628032345</v>
      </c>
      <c r="AA21" s="56">
        <v>6535.43</v>
      </c>
      <c r="AB21" s="96">
        <f t="shared" ref="AB21:AB23" si="12">(AA21-6254.78)/6254.78</f>
        <v>0.0448696836659324</v>
      </c>
      <c r="AC21" s="56">
        <v>1785.92</v>
      </c>
      <c r="AD21" s="96">
        <f t="shared" ref="AD21:AD23" si="13">(AC21-1222.26)/1222.26</f>
        <v>0.461162109534796</v>
      </c>
      <c r="AE21" s="97"/>
    </row>
    <row r="22" s="2" customFormat="1" ht="32.25" customHeight="1" spans="1:31">
      <c r="A22" s="54"/>
      <c r="B22" s="56" t="s">
        <v>158</v>
      </c>
      <c r="C22" s="59" t="s">
        <v>149</v>
      </c>
      <c r="D22" s="55" t="s">
        <v>159</v>
      </c>
      <c r="E22" s="57">
        <v>18.475894875</v>
      </c>
      <c r="F22" s="57">
        <v>14.22</v>
      </c>
      <c r="G22" s="57">
        <f t="shared" si="0"/>
        <v>18.94788</v>
      </c>
      <c r="H22" s="57">
        <f t="shared" si="1"/>
        <v>15.7899</v>
      </c>
      <c r="I22" s="56">
        <v>12</v>
      </c>
      <c r="J22" s="57">
        <f>$J$9*0.5</f>
        <v>10.5266</v>
      </c>
      <c r="K22" s="66">
        <f t="shared" si="2"/>
        <v>5.2633</v>
      </c>
      <c r="L22" s="56">
        <v>0.5</v>
      </c>
      <c r="M22" s="56">
        <v>0</v>
      </c>
      <c r="N22" s="57">
        <f t="shared" si="10"/>
        <v>3.15798</v>
      </c>
      <c r="O22" s="56">
        <v>1</v>
      </c>
      <c r="P22" s="56" t="s">
        <v>147</v>
      </c>
      <c r="Q22" s="85" t="s">
        <v>157</v>
      </c>
      <c r="R22" s="56">
        <f t="shared" si="4"/>
        <v>6.16</v>
      </c>
      <c r="S22" s="56">
        <v>2.2</v>
      </c>
      <c r="T22" s="56">
        <v>1.21</v>
      </c>
      <c r="U22" s="56">
        <v>1.1</v>
      </c>
      <c r="V22" s="56">
        <v>0</v>
      </c>
      <c r="W22" s="56">
        <v>1.65</v>
      </c>
      <c r="X22" s="56">
        <v>0</v>
      </c>
      <c r="Y22" s="56">
        <v>64.1</v>
      </c>
      <c r="Z22" s="96">
        <f t="shared" si="11"/>
        <v>16.277628032345</v>
      </c>
      <c r="AA22" s="56">
        <v>6535.43</v>
      </c>
      <c r="AB22" s="96">
        <f t="shared" si="12"/>
        <v>0.0448696836659324</v>
      </c>
      <c r="AC22" s="56">
        <v>1785.92</v>
      </c>
      <c r="AD22" s="96">
        <f t="shared" si="13"/>
        <v>0.461162109534796</v>
      </c>
      <c r="AE22" s="97"/>
    </row>
    <row r="23" s="2" customFormat="1" ht="32.25" customHeight="1" spans="1:31">
      <c r="A23" s="54"/>
      <c r="B23" s="56" t="s">
        <v>160</v>
      </c>
      <c r="C23" s="59" t="s">
        <v>149</v>
      </c>
      <c r="D23" s="68">
        <v>44256</v>
      </c>
      <c r="E23" s="57">
        <v>18.475894875</v>
      </c>
      <c r="F23" s="57">
        <v>14.22</v>
      </c>
      <c r="G23" s="57">
        <f t="shared" si="0"/>
        <v>18.94788</v>
      </c>
      <c r="H23" s="57">
        <f t="shared" si="1"/>
        <v>15.7899</v>
      </c>
      <c r="I23" s="56">
        <v>12</v>
      </c>
      <c r="J23" s="57">
        <f>$J$9*0.5</f>
        <v>10.5266</v>
      </c>
      <c r="K23" s="66">
        <f t="shared" si="2"/>
        <v>5.2633</v>
      </c>
      <c r="L23" s="56">
        <v>0.5</v>
      </c>
      <c r="M23" s="56">
        <v>0</v>
      </c>
      <c r="N23" s="57">
        <f t="shared" si="10"/>
        <v>3.15798</v>
      </c>
      <c r="O23" s="56">
        <v>1</v>
      </c>
      <c r="P23" s="56" t="s">
        <v>147</v>
      </c>
      <c r="Q23" s="85" t="s">
        <v>157</v>
      </c>
      <c r="R23" s="56">
        <f t="shared" si="4"/>
        <v>5.85</v>
      </c>
      <c r="S23" s="56">
        <v>2.1</v>
      </c>
      <c r="T23" s="56">
        <v>1.15</v>
      </c>
      <c r="U23" s="56">
        <v>1.03</v>
      </c>
      <c r="V23" s="56">
        <v>0</v>
      </c>
      <c r="W23" s="56">
        <v>1.57</v>
      </c>
      <c r="X23" s="56">
        <v>0</v>
      </c>
      <c r="Y23" s="56">
        <v>64.1</v>
      </c>
      <c r="Z23" s="96">
        <f t="shared" si="11"/>
        <v>16.277628032345</v>
      </c>
      <c r="AA23" s="56">
        <v>6535.43</v>
      </c>
      <c r="AB23" s="96">
        <f t="shared" si="12"/>
        <v>0.0448696836659324</v>
      </c>
      <c r="AC23" s="56">
        <v>1785.92</v>
      </c>
      <c r="AD23" s="96">
        <f t="shared" si="13"/>
        <v>0.461162109534796</v>
      </c>
      <c r="AE23" s="97"/>
    </row>
    <row r="24" s="1" customFormat="1" spans="1:31">
      <c r="A24" s="70" t="s">
        <v>161</v>
      </c>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105"/>
    </row>
    <row r="25" s="1" customFormat="1" spans="1:31">
      <c r="A25" s="72" t="s">
        <v>162</v>
      </c>
      <c r="B25" s="73"/>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106"/>
    </row>
    <row r="26" s="1" customFormat="1" spans="1:31">
      <c r="A26" s="72" t="s">
        <v>163</v>
      </c>
      <c r="B26" s="73"/>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106"/>
    </row>
    <row r="27" s="1" customFormat="1" spans="1:31">
      <c r="A27" s="75" t="s">
        <v>164</v>
      </c>
      <c r="B27" s="73"/>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106"/>
    </row>
    <row r="28" s="1" customFormat="1" spans="1:31">
      <c r="A28" s="75" t="s">
        <v>165</v>
      </c>
      <c r="B28" s="73"/>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106"/>
    </row>
    <row r="29" s="1" customFormat="1" spans="1:31">
      <c r="A29" s="76" t="s">
        <v>166</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107"/>
    </row>
    <row r="30" s="1" customFormat="1" ht="21.75" customHeight="1" spans="1:26">
      <c r="A30" s="78" t="s">
        <v>94</v>
      </c>
      <c r="B30" s="78"/>
      <c r="P30" s="1" t="s">
        <v>95</v>
      </c>
      <c r="Y30" s="108" t="s">
        <v>96</v>
      </c>
      <c r="Z30" s="108"/>
    </row>
  </sheetData>
  <mergeCells count="29">
    <mergeCell ref="A2:AE2"/>
    <mergeCell ref="Z4:AE4"/>
    <mergeCell ref="E5:F5"/>
    <mergeCell ref="G5:Q5"/>
    <mergeCell ref="R5:X5"/>
    <mergeCell ref="Y5:AD5"/>
    <mergeCell ref="S6:X6"/>
    <mergeCell ref="Y6:Z6"/>
    <mergeCell ref="AA6:AB6"/>
    <mergeCell ref="AC6:AD6"/>
    <mergeCell ref="A24:AE24"/>
    <mergeCell ref="A29:AE29"/>
    <mergeCell ref="A30:B30"/>
    <mergeCell ref="A5:A7"/>
    <mergeCell ref="A9:A13"/>
    <mergeCell ref="A14:A15"/>
    <mergeCell ref="A16:A17"/>
    <mergeCell ref="A19:A20"/>
    <mergeCell ref="A21:A23"/>
    <mergeCell ref="B5:B7"/>
    <mergeCell ref="C5:C7"/>
    <mergeCell ref="D5:D7"/>
    <mergeCell ref="E6:E7"/>
    <mergeCell ref="F6:F7"/>
    <mergeCell ref="G6:G7"/>
    <mergeCell ref="H6:H7"/>
    <mergeCell ref="O6:O7"/>
    <mergeCell ref="R6:R7"/>
    <mergeCell ref="AE5:AE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A2" sqref="A2:O2"/>
    </sheetView>
  </sheetViews>
  <sheetFormatPr defaultColWidth="10" defaultRowHeight="14.25"/>
  <cols>
    <col min="1" max="1" width="5.14166666666667" style="1" customWidth="1"/>
    <col min="2" max="2" width="8.625" style="1" customWidth="1"/>
    <col min="3" max="3" width="12.625" style="1" customWidth="1"/>
    <col min="4" max="4" width="4.75" style="1" customWidth="1"/>
    <col min="5" max="5" width="4.875" style="1" customWidth="1"/>
    <col min="6" max="6" width="9.5" style="1" customWidth="1"/>
    <col min="7" max="7" width="10.1083333333333" style="1" customWidth="1"/>
    <col min="8" max="8" width="11.1083333333333" style="1" customWidth="1"/>
    <col min="9" max="9" width="12.5" style="1" customWidth="1"/>
    <col min="10" max="11" width="10" style="1"/>
    <col min="12" max="13" width="9.725" style="1" customWidth="1"/>
    <col min="14" max="14" width="8.25" style="1" customWidth="1"/>
    <col min="15" max="17" width="10" style="1"/>
    <col min="18" max="18" width="10.4416666666667" style="1"/>
    <col min="19" max="16384" width="10" style="1"/>
  </cols>
  <sheetData>
    <row r="1" s="1" customFormat="1" ht="24.75" customHeight="1" spans="1:2">
      <c r="A1" s="4" t="s">
        <v>167</v>
      </c>
      <c r="B1" s="4"/>
    </row>
    <row r="2" s="1" customFormat="1" ht="31.5" customHeight="1" spans="1:15">
      <c r="A2" s="5" t="s">
        <v>168</v>
      </c>
      <c r="B2" s="5"/>
      <c r="C2" s="5"/>
      <c r="D2" s="5"/>
      <c r="E2" s="5"/>
      <c r="F2" s="5"/>
      <c r="G2" s="5"/>
      <c r="H2" s="5"/>
      <c r="I2" s="5"/>
      <c r="J2" s="5"/>
      <c r="K2" s="5"/>
      <c r="L2" s="5"/>
      <c r="M2" s="5"/>
      <c r="N2" s="5"/>
      <c r="O2" s="5"/>
    </row>
    <row r="3" s="1" customFormat="1" ht="20" customHeight="1" spans="1:15">
      <c r="A3" s="6"/>
      <c r="B3" s="6"/>
      <c r="C3" s="6"/>
      <c r="D3" s="6"/>
      <c r="E3" s="6"/>
      <c r="F3" s="6"/>
      <c r="G3" s="6"/>
      <c r="H3" s="6"/>
      <c r="I3" s="6"/>
      <c r="J3" s="6"/>
      <c r="K3" s="6"/>
      <c r="L3" s="6"/>
      <c r="M3" s="21" t="s">
        <v>169</v>
      </c>
      <c r="N3" s="21"/>
      <c r="O3" s="21"/>
    </row>
    <row r="4" s="1" customFormat="1" ht="28.5" customHeight="1" spans="1:15">
      <c r="A4" s="7" t="s">
        <v>170</v>
      </c>
      <c r="B4" s="8" t="s">
        <v>171</v>
      </c>
      <c r="C4" s="7" t="s">
        <v>172</v>
      </c>
      <c r="D4" s="9" t="s">
        <v>173</v>
      </c>
      <c r="E4" s="9"/>
      <c r="F4" s="7" t="s">
        <v>174</v>
      </c>
      <c r="G4" s="7" t="s">
        <v>175</v>
      </c>
      <c r="H4" s="7" t="s">
        <v>176</v>
      </c>
      <c r="I4" s="7" t="s">
        <v>177</v>
      </c>
      <c r="J4" s="7" t="s">
        <v>178</v>
      </c>
      <c r="K4" s="22" t="s">
        <v>179</v>
      </c>
      <c r="L4" s="22" t="s">
        <v>180</v>
      </c>
      <c r="M4" s="22" t="s">
        <v>181</v>
      </c>
      <c r="N4" s="9" t="s">
        <v>182</v>
      </c>
      <c r="O4" s="7" t="s">
        <v>183</v>
      </c>
    </row>
    <row r="5" s="1" customFormat="1" ht="33" customHeight="1" spans="1:15">
      <c r="A5" s="7"/>
      <c r="B5" s="10"/>
      <c r="C5" s="7"/>
      <c r="D5" s="11" t="s">
        <v>184</v>
      </c>
      <c r="E5" s="11" t="s">
        <v>185</v>
      </c>
      <c r="F5" s="7"/>
      <c r="G5" s="7"/>
      <c r="H5" s="7"/>
      <c r="I5" s="7"/>
      <c r="J5" s="7"/>
      <c r="K5" s="23"/>
      <c r="L5" s="23"/>
      <c r="M5" s="23"/>
      <c r="N5" s="9"/>
      <c r="O5" s="7"/>
    </row>
    <row r="6" s="1" customFormat="1" ht="21.75" customHeight="1" spans="1:15">
      <c r="A6" s="9">
        <v>1</v>
      </c>
      <c r="B6" s="12" t="s">
        <v>186</v>
      </c>
      <c r="C6" s="13">
        <v>43647</v>
      </c>
      <c r="D6" s="12">
        <v>1</v>
      </c>
      <c r="E6" s="12">
        <v>12</v>
      </c>
      <c r="F6" s="14">
        <f>'[1]4.薪酬备案表'!H9</f>
        <v>32.74193664</v>
      </c>
      <c r="G6" s="14">
        <f>'[1]4.薪酬备案表'!J9</f>
        <v>21.0532</v>
      </c>
      <c r="H6" s="14">
        <f>'[1]4.薪酬备案表'!K9</f>
        <v>11.68873664</v>
      </c>
      <c r="I6" s="14">
        <f>'[1]4.薪酬备案表'!R9</f>
        <v>11.53</v>
      </c>
      <c r="J6" s="12">
        <v>0</v>
      </c>
      <c r="K6" s="12">
        <v>11.34</v>
      </c>
      <c r="L6" s="12" t="s">
        <v>187</v>
      </c>
      <c r="M6" s="12">
        <v>0</v>
      </c>
      <c r="N6" s="24"/>
      <c r="O6" s="24"/>
    </row>
    <row r="7" s="1" customFormat="1" ht="21.75" customHeight="1" spans="1:15">
      <c r="A7" s="9">
        <v>2</v>
      </c>
      <c r="B7" s="12" t="s">
        <v>188</v>
      </c>
      <c r="C7" s="13">
        <v>43647</v>
      </c>
      <c r="D7" s="12">
        <v>1</v>
      </c>
      <c r="E7" s="12">
        <v>12</v>
      </c>
      <c r="F7" s="14">
        <f>'[1]4.薪酬备案表'!H10</f>
        <v>24.80909088</v>
      </c>
      <c r="G7" s="14">
        <f>'[1]4.薪酬备案表'!J10</f>
        <v>15.7899</v>
      </c>
      <c r="H7" s="14">
        <f>'[1]4.薪酬备案表'!K10</f>
        <v>9.01919088</v>
      </c>
      <c r="I7" s="14">
        <f>'[1]4.薪酬备案表'!R10</f>
        <v>10.19</v>
      </c>
      <c r="J7" s="12">
        <v>0</v>
      </c>
      <c r="K7" s="12">
        <v>8.02</v>
      </c>
      <c r="L7" s="12" t="s">
        <v>187</v>
      </c>
      <c r="M7" s="12">
        <v>0</v>
      </c>
      <c r="N7" s="24"/>
      <c r="O7" s="24"/>
    </row>
    <row r="8" s="1" customFormat="1" ht="21.75" customHeight="1" spans="1:15">
      <c r="A8" s="9">
        <v>3</v>
      </c>
      <c r="B8" s="12" t="s">
        <v>189</v>
      </c>
      <c r="C8" s="13">
        <v>43617</v>
      </c>
      <c r="D8" s="12">
        <v>1</v>
      </c>
      <c r="E8" s="12">
        <v>12</v>
      </c>
      <c r="F8" s="14">
        <f>'[1]4.薪酬备案表'!H11</f>
        <v>24.91014624</v>
      </c>
      <c r="G8" s="14">
        <f>'[1]4.薪酬备案表'!J11</f>
        <v>15.7899</v>
      </c>
      <c r="H8" s="14">
        <f>'[1]4.薪酬备案表'!K11</f>
        <v>9.12024624</v>
      </c>
      <c r="I8" s="14">
        <f>'[1]4.薪酬备案表'!R11</f>
        <v>10.19</v>
      </c>
      <c r="J8" s="12">
        <v>0</v>
      </c>
      <c r="K8" s="12">
        <v>8.35</v>
      </c>
      <c r="L8" s="12" t="s">
        <v>187</v>
      </c>
      <c r="M8" s="12">
        <v>0</v>
      </c>
      <c r="N8" s="24"/>
      <c r="O8" s="24"/>
    </row>
    <row r="9" s="1" customFormat="1" ht="21.75" customHeight="1" spans="1:15">
      <c r="A9" s="9">
        <v>4</v>
      </c>
      <c r="B9" s="12" t="s">
        <v>190</v>
      </c>
      <c r="C9" s="13">
        <v>42917</v>
      </c>
      <c r="D9" s="12">
        <v>1</v>
      </c>
      <c r="E9" s="12">
        <v>12</v>
      </c>
      <c r="F9" s="14">
        <f>'[1]4.薪酬备案表'!H12</f>
        <v>23.31852432</v>
      </c>
      <c r="G9" s="14">
        <f>'[1]4.薪酬备案表'!J12</f>
        <v>15.7899</v>
      </c>
      <c r="H9" s="14">
        <f>'[1]4.薪酬备案表'!K12</f>
        <v>7.52862432</v>
      </c>
      <c r="I9" s="14">
        <f>'[1]4.薪酬备案表'!R12</f>
        <v>10.19</v>
      </c>
      <c r="J9" s="12">
        <v>0</v>
      </c>
      <c r="K9" s="12">
        <v>7.89</v>
      </c>
      <c r="L9" s="12" t="s">
        <v>187</v>
      </c>
      <c r="M9" s="12">
        <v>0</v>
      </c>
      <c r="N9" s="24"/>
      <c r="O9" s="24"/>
    </row>
    <row r="10" s="1" customFormat="1" ht="21.75" customHeight="1" spans="1:15">
      <c r="A10" s="9">
        <v>5</v>
      </c>
      <c r="B10" s="12" t="s">
        <v>191</v>
      </c>
      <c r="C10" s="13">
        <v>44197</v>
      </c>
      <c r="D10" s="12">
        <v>1</v>
      </c>
      <c r="E10" s="12">
        <v>12</v>
      </c>
      <c r="F10" s="14">
        <f>'[1]4.薪酬备案表'!H13</f>
        <v>24.21539064</v>
      </c>
      <c r="G10" s="14">
        <f>'[1]4.薪酬备案表'!J13</f>
        <v>15.7899</v>
      </c>
      <c r="H10" s="14">
        <f>'[1]4.薪酬备案表'!K13</f>
        <v>8.42549064</v>
      </c>
      <c r="I10" s="14">
        <f>'[1]4.薪酬备案表'!R13</f>
        <v>10.19</v>
      </c>
      <c r="J10" s="12">
        <v>0</v>
      </c>
      <c r="K10" s="12">
        <v>4.04</v>
      </c>
      <c r="L10" s="12" t="s">
        <v>187</v>
      </c>
      <c r="M10" s="12">
        <v>0</v>
      </c>
      <c r="N10" s="24"/>
      <c r="O10" s="24"/>
    </row>
    <row r="11" s="2" customFormat="1" ht="21.75" customHeight="1" spans="1:15">
      <c r="A11" s="9">
        <v>6</v>
      </c>
      <c r="B11" s="12" t="s">
        <v>192</v>
      </c>
      <c r="C11" s="13">
        <v>43647</v>
      </c>
      <c r="D11" s="12">
        <v>1</v>
      </c>
      <c r="E11" s="12">
        <v>12</v>
      </c>
      <c r="F11" s="14">
        <f>'[1]4.薪酬备案表'!H14</f>
        <v>19.15884990656</v>
      </c>
      <c r="G11" s="14">
        <f>'[1]4.薪酬备案表'!J14</f>
        <v>13.68458</v>
      </c>
      <c r="H11" s="14">
        <f>'[1]4.薪酬备案表'!K14</f>
        <v>5.47426990656</v>
      </c>
      <c r="I11" s="14">
        <f>'[1]4.薪酬备案表'!R14</f>
        <v>8.76</v>
      </c>
      <c r="J11" s="12">
        <v>0</v>
      </c>
      <c r="K11" s="12">
        <v>7.27</v>
      </c>
      <c r="L11" s="12" t="s">
        <v>187</v>
      </c>
      <c r="M11" s="12">
        <v>0</v>
      </c>
      <c r="N11" s="9"/>
      <c r="O11" s="9"/>
    </row>
    <row r="12" s="2" customFormat="1" ht="21.75" customHeight="1" spans="1:15">
      <c r="A12" s="9">
        <v>7</v>
      </c>
      <c r="B12" s="12" t="s">
        <v>193</v>
      </c>
      <c r="C12" s="13">
        <v>43862</v>
      </c>
      <c r="D12" s="12">
        <v>1</v>
      </c>
      <c r="E12" s="12">
        <v>12</v>
      </c>
      <c r="F12" s="14">
        <f>'[1]4.薪酬备案表'!H15</f>
        <v>14.7375768512</v>
      </c>
      <c r="G12" s="14">
        <f>'[1]4.薪酬备案表'!J15</f>
        <v>10.5266</v>
      </c>
      <c r="H12" s="14">
        <f>'[1]4.薪酬备案表'!K15</f>
        <v>4.2109768512</v>
      </c>
      <c r="I12" s="14">
        <f>'[1]4.薪酬备案表'!R15</f>
        <v>6.73</v>
      </c>
      <c r="J12" s="12">
        <v>0</v>
      </c>
      <c r="K12" s="12">
        <v>5.54</v>
      </c>
      <c r="L12" s="12" t="s">
        <v>187</v>
      </c>
      <c r="M12" s="12">
        <v>0</v>
      </c>
      <c r="N12" s="9"/>
      <c r="O12" s="9"/>
    </row>
    <row r="13" s="3" customFormat="1" ht="21.75" customHeight="1" spans="1:15">
      <c r="A13" s="9">
        <v>8</v>
      </c>
      <c r="B13" s="15" t="s">
        <v>194</v>
      </c>
      <c r="C13" s="13">
        <v>43647</v>
      </c>
      <c r="D13" s="12">
        <v>1</v>
      </c>
      <c r="E13" s="12">
        <v>12</v>
      </c>
      <c r="F13" s="14">
        <f>'[1]4.薪酬备案表'!H16</f>
        <v>17.96597191025</v>
      </c>
      <c r="G13" s="14">
        <f>'[1]4.薪酬备案表'!J16</f>
        <v>13.68458</v>
      </c>
      <c r="H13" s="14">
        <f>'[1]4.薪酬备案表'!K16</f>
        <v>4.28139191025</v>
      </c>
      <c r="I13" s="14">
        <f>'[1]4.薪酬备案表'!R16</f>
        <v>9.13</v>
      </c>
      <c r="J13" s="12">
        <v>0</v>
      </c>
      <c r="K13" s="12">
        <v>6.11</v>
      </c>
      <c r="L13" s="12" t="s">
        <v>187</v>
      </c>
      <c r="M13" s="12">
        <v>0</v>
      </c>
      <c r="N13" s="12"/>
      <c r="O13" s="25"/>
    </row>
    <row r="14" s="1" customFormat="1" ht="21.75" customHeight="1" spans="1:15">
      <c r="A14" s="9">
        <v>9</v>
      </c>
      <c r="B14" s="15" t="s">
        <v>195</v>
      </c>
      <c r="C14" s="13">
        <v>43862</v>
      </c>
      <c r="D14" s="12">
        <v>1</v>
      </c>
      <c r="E14" s="12">
        <v>12</v>
      </c>
      <c r="F14" s="14">
        <f>'[1]4.薪酬备案表'!H17</f>
        <v>13.8199783925</v>
      </c>
      <c r="G14" s="14">
        <f>'[1]4.薪酬备案表'!J17</f>
        <v>10.5266</v>
      </c>
      <c r="H14" s="14">
        <f>'[1]4.薪酬备案表'!K17</f>
        <v>3.2933783925</v>
      </c>
      <c r="I14" s="14">
        <f>'[1]4.薪酬备案表'!R17</f>
        <v>7.03</v>
      </c>
      <c r="J14" s="12">
        <v>0</v>
      </c>
      <c r="K14" s="12">
        <v>4.54</v>
      </c>
      <c r="L14" s="12" t="s">
        <v>187</v>
      </c>
      <c r="M14" s="12">
        <v>0</v>
      </c>
      <c r="N14" s="9"/>
      <c r="O14" s="26"/>
    </row>
    <row r="15" s="1" customFormat="1" ht="21.75" customHeight="1" spans="1:15">
      <c r="A15" s="16">
        <v>10</v>
      </c>
      <c r="B15" s="15" t="s">
        <v>196</v>
      </c>
      <c r="C15" s="17">
        <v>42986</v>
      </c>
      <c r="D15" s="18">
        <v>1</v>
      </c>
      <c r="E15" s="18">
        <v>12</v>
      </c>
      <c r="F15" s="14">
        <f>'[1]4.薪酬备案表'!H18</f>
        <v>6.98</v>
      </c>
      <c r="G15" s="14">
        <f>'[1]4.薪酬备案表'!J18</f>
        <v>6.98</v>
      </c>
      <c r="H15" s="14">
        <f>'[1]4.薪酬备案表'!K18</f>
        <v>0</v>
      </c>
      <c r="I15" s="14">
        <f>'[1]4.薪酬备案表'!R18</f>
        <v>1.4</v>
      </c>
      <c r="J15" s="18">
        <v>0</v>
      </c>
      <c r="K15" s="18">
        <v>0</v>
      </c>
      <c r="L15" s="18" t="s">
        <v>187</v>
      </c>
      <c r="M15" s="18">
        <v>0</v>
      </c>
      <c r="N15" s="16"/>
      <c r="O15" s="27"/>
    </row>
    <row r="16" s="1" customFormat="1" ht="21.75" customHeight="1" spans="1:15">
      <c r="A16" s="9">
        <v>11</v>
      </c>
      <c r="B16" s="15" t="s">
        <v>197</v>
      </c>
      <c r="C16" s="13">
        <v>43647</v>
      </c>
      <c r="D16" s="12">
        <v>1</v>
      </c>
      <c r="E16" s="12">
        <v>12</v>
      </c>
      <c r="F16" s="14">
        <f>'[1]4.薪酬备案表'!H19</f>
        <v>12.9564129716</v>
      </c>
      <c r="G16" s="14">
        <f>'[1]4.薪酬备案表'!J19</f>
        <v>10.5266</v>
      </c>
      <c r="H16" s="14">
        <f>'[1]4.薪酬备案表'!K19</f>
        <v>2.4298129716</v>
      </c>
      <c r="I16" s="14">
        <f>'[1]4.薪酬备案表'!R19</f>
        <v>6.778104</v>
      </c>
      <c r="J16" s="12">
        <v>0</v>
      </c>
      <c r="K16" s="12">
        <v>5.78</v>
      </c>
      <c r="L16" s="12" t="s">
        <v>187</v>
      </c>
      <c r="M16" s="12">
        <v>0</v>
      </c>
      <c r="N16" s="12"/>
      <c r="O16" s="12"/>
    </row>
    <row r="17" s="1" customFormat="1" ht="22" customHeight="1" spans="1:15">
      <c r="A17" s="9">
        <v>12</v>
      </c>
      <c r="B17" s="15" t="s">
        <v>198</v>
      </c>
      <c r="C17" s="13">
        <v>43647</v>
      </c>
      <c r="D17" s="12">
        <v>1</v>
      </c>
      <c r="E17" s="12">
        <v>12</v>
      </c>
      <c r="F17" s="14">
        <f>'[1]4.薪酬备案表'!H20</f>
        <v>12.9564129716</v>
      </c>
      <c r="G17" s="14">
        <f>'[1]4.薪酬备案表'!J20</f>
        <v>10.5266</v>
      </c>
      <c r="H17" s="14">
        <f>'[1]4.薪酬备案表'!K20</f>
        <v>2.4298129716</v>
      </c>
      <c r="I17" s="14">
        <f>'[1]4.薪酬备案表'!R20</f>
        <v>6.778104</v>
      </c>
      <c r="J17" s="12">
        <v>0</v>
      </c>
      <c r="K17" s="12">
        <v>5.78</v>
      </c>
      <c r="L17" s="12" t="s">
        <v>187</v>
      </c>
      <c r="M17" s="12">
        <v>0</v>
      </c>
      <c r="N17" s="12"/>
      <c r="O17" s="25"/>
    </row>
    <row r="18" s="1" customFormat="1" ht="22" customHeight="1" spans="1:15">
      <c r="A18" s="16">
        <v>13</v>
      </c>
      <c r="B18" s="12" t="s">
        <v>199</v>
      </c>
      <c r="C18" s="13">
        <v>43654</v>
      </c>
      <c r="D18" s="12">
        <v>1</v>
      </c>
      <c r="E18" s="12">
        <v>12</v>
      </c>
      <c r="F18" s="14">
        <f>'[1]4.薪酬备案表'!H21</f>
        <v>22.579557</v>
      </c>
      <c r="G18" s="14">
        <f>'[1]4.薪酬备案表'!J21</f>
        <v>13.68458</v>
      </c>
      <c r="H18" s="14">
        <f>'[1]4.薪酬备案表'!K21</f>
        <v>8.894977</v>
      </c>
      <c r="I18" s="14">
        <f>'[1]4.薪酬备案表'!R21</f>
        <v>8</v>
      </c>
      <c r="J18" s="12">
        <v>0</v>
      </c>
      <c r="K18" s="12">
        <v>5.05</v>
      </c>
      <c r="L18" s="12" t="s">
        <v>187</v>
      </c>
      <c r="M18" s="12">
        <v>0</v>
      </c>
      <c r="N18" s="28"/>
      <c r="O18" s="29"/>
    </row>
    <row r="19" s="1" customFormat="1" ht="22" customHeight="1" spans="1:15">
      <c r="A19" s="12">
        <v>14</v>
      </c>
      <c r="B19" s="12" t="s">
        <v>200</v>
      </c>
      <c r="C19" s="13">
        <v>43716</v>
      </c>
      <c r="D19" s="12">
        <v>1</v>
      </c>
      <c r="E19" s="12">
        <v>12</v>
      </c>
      <c r="F19" s="14">
        <f>'[1]4.薪酬备案表'!H22</f>
        <v>15.7899</v>
      </c>
      <c r="G19" s="14">
        <f>'[1]4.薪酬备案表'!J22</f>
        <v>10.5266</v>
      </c>
      <c r="H19" s="14">
        <f>'[1]4.薪酬备案表'!K22</f>
        <v>5.2633</v>
      </c>
      <c r="I19" s="14">
        <f>'[1]4.薪酬备案表'!R22</f>
        <v>6.16</v>
      </c>
      <c r="J19" s="12">
        <v>0</v>
      </c>
      <c r="K19" s="12">
        <v>3.88</v>
      </c>
      <c r="L19" s="12" t="s">
        <v>187</v>
      </c>
      <c r="M19" s="12">
        <v>0</v>
      </c>
      <c r="N19" s="28"/>
      <c r="O19" s="29"/>
    </row>
    <row r="20" s="1" customFormat="1" ht="22" customHeight="1" spans="1:15">
      <c r="A20" s="9">
        <v>15</v>
      </c>
      <c r="B20" s="19" t="s">
        <v>201</v>
      </c>
      <c r="C20" s="20">
        <v>44256</v>
      </c>
      <c r="D20" s="19">
        <v>1</v>
      </c>
      <c r="E20" s="19">
        <v>12</v>
      </c>
      <c r="F20" s="14">
        <f>'[1]4.薪酬备案表'!H23</f>
        <v>15.7899</v>
      </c>
      <c r="G20" s="14">
        <f>'[1]4.薪酬备案表'!J23</f>
        <v>10.5266</v>
      </c>
      <c r="H20" s="14">
        <f>'[1]4.薪酬备案表'!K23</f>
        <v>5.2633</v>
      </c>
      <c r="I20" s="14">
        <f>'[1]4.薪酬备案表'!R23</f>
        <v>5.85</v>
      </c>
      <c r="J20" s="19">
        <v>0</v>
      </c>
      <c r="K20" s="19">
        <v>2.49</v>
      </c>
      <c r="L20" s="19" t="s">
        <v>187</v>
      </c>
      <c r="M20" s="19">
        <v>0</v>
      </c>
      <c r="N20" s="30"/>
      <c r="O20" s="31"/>
    </row>
    <row r="21" s="1" customFormat="1" ht="15.75" spans="1:15">
      <c r="A21" s="6"/>
      <c r="B21" s="6" t="s">
        <v>202</v>
      </c>
      <c r="C21" s="6"/>
      <c r="D21" s="6"/>
      <c r="E21" s="6"/>
      <c r="F21" s="6"/>
      <c r="G21" s="6"/>
      <c r="H21" s="6"/>
      <c r="I21" s="6"/>
      <c r="J21" s="6"/>
      <c r="K21" s="6"/>
      <c r="L21" s="6"/>
      <c r="M21" s="6"/>
      <c r="N21" s="6"/>
      <c r="O21" s="6"/>
    </row>
    <row r="22" s="1" customFormat="1" ht="15.75" spans="1:15">
      <c r="A22" s="6"/>
      <c r="B22" s="6" t="s">
        <v>203</v>
      </c>
      <c r="C22" s="6"/>
      <c r="D22" s="6"/>
      <c r="E22" s="6"/>
      <c r="F22" s="6"/>
      <c r="G22" s="6"/>
      <c r="H22" s="6"/>
      <c r="I22" s="6"/>
      <c r="J22" s="6"/>
      <c r="K22" s="6"/>
      <c r="L22" s="6"/>
      <c r="M22" s="6"/>
      <c r="N22" s="6"/>
      <c r="O22" s="6"/>
    </row>
    <row r="23" s="1" customFormat="1" ht="15.75" spans="1:15">
      <c r="A23" s="6"/>
      <c r="B23" s="6" t="s">
        <v>204</v>
      </c>
      <c r="C23" s="6"/>
      <c r="D23" s="6"/>
      <c r="E23" s="6"/>
      <c r="F23" s="6"/>
      <c r="G23" s="6"/>
      <c r="H23" s="6"/>
      <c r="I23" s="6"/>
      <c r="J23" s="6"/>
      <c r="K23" s="6"/>
      <c r="L23" s="6"/>
      <c r="M23" s="6"/>
      <c r="N23" s="6"/>
      <c r="O23" s="6"/>
    </row>
    <row r="24" s="1" customFormat="1" ht="15.75" spans="1:15">
      <c r="A24" s="6"/>
      <c r="B24" s="6" t="s">
        <v>205</v>
      </c>
      <c r="C24" s="6"/>
      <c r="D24" s="6"/>
      <c r="E24" s="6"/>
      <c r="F24" s="6"/>
      <c r="G24" s="6"/>
      <c r="H24" s="6"/>
      <c r="I24" s="6"/>
      <c r="J24" s="6"/>
      <c r="K24" s="6"/>
      <c r="L24" s="6"/>
      <c r="M24" s="6"/>
      <c r="N24" s="6"/>
      <c r="O24" s="6"/>
    </row>
    <row r="25" s="1" customFormat="1" ht="15.75" spans="1:15">
      <c r="A25" s="6"/>
      <c r="B25" s="6" t="s">
        <v>206</v>
      </c>
      <c r="C25" s="6"/>
      <c r="D25" s="6"/>
      <c r="E25" s="6"/>
      <c r="F25" s="6"/>
      <c r="G25" s="6"/>
      <c r="H25" s="6"/>
      <c r="I25" s="6"/>
      <c r="J25" s="6"/>
      <c r="K25" s="6"/>
      <c r="L25" s="6"/>
      <c r="M25" s="6"/>
      <c r="N25" s="6"/>
      <c r="O25" s="6"/>
    </row>
    <row r="26" s="1" customFormat="1" ht="15.75" spans="1:15">
      <c r="A26" s="6"/>
      <c r="B26" s="6" t="s">
        <v>207</v>
      </c>
      <c r="C26" s="6"/>
      <c r="D26" s="6"/>
      <c r="E26" s="6"/>
      <c r="F26" s="6"/>
      <c r="G26" s="6"/>
      <c r="H26" s="6"/>
      <c r="I26" s="6"/>
      <c r="J26" s="6"/>
      <c r="K26" s="6"/>
      <c r="L26" s="6"/>
      <c r="M26" s="6"/>
      <c r="N26" s="6"/>
      <c r="O26" s="6"/>
    </row>
  </sheetData>
  <mergeCells count="17">
    <mergeCell ref="A1:B1"/>
    <mergeCell ref="A2:O2"/>
    <mergeCell ref="M3:O3"/>
    <mergeCell ref="D4:E4"/>
    <mergeCell ref="A4:A5"/>
    <mergeCell ref="B4:B5"/>
    <mergeCell ref="C4:C5"/>
    <mergeCell ref="F4:F5"/>
    <mergeCell ref="G4:G5"/>
    <mergeCell ref="H4:H5"/>
    <mergeCell ref="I4:I5"/>
    <mergeCell ref="J4:J5"/>
    <mergeCell ref="K4:K5"/>
    <mergeCell ref="L4:L5"/>
    <mergeCell ref="M4:M5"/>
    <mergeCell ref="N4:N5"/>
    <mergeCell ref="O4:O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负责人薪酬情况表</vt:lpstr>
      <vt:lpstr>负责人2023年度薪酬分配备案表</vt:lpstr>
      <vt:lpstr>负责人薪酬披露表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疤 ，印在心</cp:lastModifiedBy>
  <dcterms:created xsi:type="dcterms:W3CDTF">2023-05-12T11:15:00Z</dcterms:created>
  <dcterms:modified xsi:type="dcterms:W3CDTF">2024-07-26T08:00:39Z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2052-12.1.0.17468</vt:lpwstr>
  </property>
  <property fmtid="{D5CDD505-2E9C-101B-9397-08002B2CF9AE}" pid="3" name="ICV">
    <vt:lpwstr>81D010FFB32B476BA49ABE45B33273B8_13</vt:lpwstr>
  </property>
</Properties>
</file>